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00" yWindow="-20" windowWidth="21180" windowHeight="24500" tabRatio="500"/>
  </bookViews>
  <sheets>
    <sheet name="Simple" sheetId="3" r:id="rId1"/>
    <sheet name="Description" sheetId="4" r:id="rId2"/>
    <sheet name="Ship" sheetId="1" r:id="rId3"/>
    <sheet name="Tables" sheetId="2" r:id="rId4"/>
  </sheets>
  <definedNames>
    <definedName name="AvgFilledCapacity">Ship!$P$154</definedName>
    <definedName name="Cargo">Ship!$K$95</definedName>
    <definedName name="Compartments">Ship!$AU$4</definedName>
    <definedName name="CompartmentSize">Ship!$AV$4</definedName>
    <definedName name="Config">Ship!$I$5</definedName>
    <definedName name="Cost">Ship!$K$1</definedName>
    <definedName name="Crew">Ship!$G$125</definedName>
    <definedName name="DriveCapacity">Ship!$C$27</definedName>
    <definedName name="DriveFormula">Ship!$A$3</definedName>
    <definedName name="DropTanks">Ship!#REF!</definedName>
    <definedName name="ExternalLoad">Ship!$C$25</definedName>
    <definedName name="FuelBurnPercent">Ship!$CU$26</definedName>
    <definedName name="FuelJumpPercent">Ship!$CV$26</definedName>
    <definedName name="FuelOpPercent">Ship!$CT$26</definedName>
    <definedName name="HighPassengers">Ship!$G$147</definedName>
    <definedName name="HitSize">Ship!$AS$175</definedName>
    <definedName name="HitSpan">Ship!$AX$4</definedName>
    <definedName name="Hull">Ship!$K$4</definedName>
    <definedName name="HullBase">Ship!$G$4</definedName>
    <definedName name="HullMaxG">Ship!$BC$5</definedName>
    <definedName name="JumpGrid">Ship!$I$29</definedName>
    <definedName name="JumpN">Ship!$DF$26</definedName>
    <definedName name="LongTermLS">Ship!$D$84</definedName>
    <definedName name="LowPassengers">Ship!$G$150</definedName>
    <definedName name="ManN">Ship!$DJ$26</definedName>
    <definedName name="MaxJumpPower">Ship!$DH$26</definedName>
    <definedName name="MaxManPower">Ship!$DK$26</definedName>
    <definedName name="MidPassengers">Ship!$G$148</definedName>
    <definedName name="Military">Ship!$A$2</definedName>
    <definedName name="newline">Ship!$AQ$1</definedName>
    <definedName name="RangeEffectScreenTable">Tables!$A$398:$B$403</definedName>
    <definedName name="RangeEffectTable">Tables!$A$388:$B$394</definedName>
    <definedName name="StandardCraft">Tables!$A$513:$A$540</definedName>
    <definedName name="StandardPods">Tables!$A$511:$A$540</definedName>
    <definedName name="SteeragePassengers">Ship!$G$149</definedName>
    <definedName name="Structure">Ship!$H$2</definedName>
    <definedName name="SubcompartmentSize">Ship!$AW$4</definedName>
    <definedName name="TL">Ship!$A$1</definedName>
    <definedName name="_xlnm.Print_Area" localSheetId="1">Description!$B$2:$B$6</definedName>
    <definedName name="_xlnm.Print_Area" localSheetId="2">Ship!$A$1:$T$211</definedName>
    <definedName name="_xlnm.Print_Area" localSheetId="0">Simple!$B$3:$F$43</definedName>
    <definedName name="ValidAntiLayers">Tables!$B$163:$B$167</definedName>
    <definedName name="ValidBarracks">Tables!$A$491:$A$494</definedName>
    <definedName name="ValidBrainEDU">Tables!$L$357:$L$358</definedName>
    <definedName name="ValidBrains">Tables!$A$357:$A$362</definedName>
    <definedName name="ValidBunks">Tables!$A$491:$A$497</definedName>
    <definedName name="ValidCentralisiation">Tables!$A$214:$A$216</definedName>
    <definedName name="ValidCoatings">Tables!$B$156:$B$159</definedName>
    <definedName name="ValidConfigs">Tables!$B$128:$B$134</definedName>
    <definedName name="ValidConsoles">Tables!$A$336:$A$339</definedName>
    <definedName name="ValidDrives">Tables!$A$197:$A$206</definedName>
    <definedName name="ValidGrapples">Tables!$A$506:$A$507</definedName>
    <definedName name="ValidHangars">Tables!$A$501:$A$507</definedName>
    <definedName name="ValidLetters">Tables!$A$13:$A$37</definedName>
    <definedName name="ValidMounts">Tables!$B$436:$B$447</definedName>
    <definedName name="ValidOvertonnage">Tables!$H$108:$H$110</definedName>
    <definedName name="ValidPower">Tables!$A$207:$A$210</definedName>
    <definedName name="ValidRangeEffects">Tables!$B$388:$B$394</definedName>
    <definedName name="ValidScreenMounts">Tables!$B$438:$B$447</definedName>
    <definedName name="ValidScreenRangeEffects">Tables!$B$398:$B$403</definedName>
    <definedName name="ValidScreens">Tables!$A$478:$A$487</definedName>
    <definedName name="ValidSensors">Tables!$A$407:$A$431</definedName>
    <definedName name="ValidStructures">Tables!$B$138:$B$143</definedName>
    <definedName name="ValidTurretWpns">Tables!$K$451:$K$460</definedName>
    <definedName name="ValidWeaponMounts">Tables!$B$439:$B$447</definedName>
    <definedName name="ValidWeapons">Tables!$A$451:$A$474</definedName>
    <definedName name="vowels">Description!$Q$1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15" i="4"/>
  <c r="N15"/>
  <c r="O15"/>
  <c r="P15"/>
  <c r="Q15"/>
  <c r="R15"/>
  <c r="R19"/>
  <c r="S15"/>
  <c r="S19"/>
  <c r="T15"/>
  <c r="T19"/>
  <c r="U15"/>
  <c r="U19"/>
  <c r="V15"/>
  <c r="V19"/>
  <c r="W15"/>
  <c r="W19"/>
  <c r="R16"/>
  <c r="S16"/>
  <c r="T16"/>
  <c r="U16"/>
  <c r="V16"/>
  <c r="W16"/>
  <c r="M28"/>
  <c r="X15"/>
  <c r="X26"/>
  <c r="W26"/>
  <c r="V26"/>
  <c r="U26"/>
  <c r="T26"/>
  <c r="S26"/>
  <c r="R26"/>
  <c r="W20"/>
  <c r="W21"/>
  <c r="W22"/>
  <c r="V20"/>
  <c r="V21"/>
  <c r="V22"/>
  <c r="U20"/>
  <c r="U21"/>
  <c r="U22"/>
  <c r="T20"/>
  <c r="T21"/>
  <c r="T22"/>
  <c r="S20"/>
  <c r="S21"/>
  <c r="S22"/>
  <c r="R20"/>
  <c r="R21"/>
  <c r="R22"/>
  <c r="K18"/>
  <c r="W17"/>
  <c r="V17"/>
  <c r="U17"/>
  <c r="T17"/>
  <c r="S17"/>
  <c r="R17"/>
  <c r="L17"/>
  <c r="M90"/>
  <c r="N90"/>
  <c r="O90"/>
  <c r="P90"/>
  <c r="P91"/>
  <c r="Q90"/>
  <c r="Q91"/>
  <c r="R90"/>
  <c r="R91"/>
  <c r="S90"/>
  <c r="S91"/>
  <c r="T90"/>
  <c r="T91"/>
  <c r="U90"/>
  <c r="U91"/>
  <c r="V90"/>
  <c r="V91"/>
  <c r="W90"/>
  <c r="W91"/>
  <c r="X90"/>
  <c r="X91"/>
  <c r="Y90"/>
  <c r="Y91"/>
  <c r="Z90"/>
  <c r="Z91"/>
  <c r="AA90"/>
  <c r="AA91"/>
  <c r="AB90"/>
  <c r="AB91"/>
  <c r="AC90"/>
  <c r="AC91"/>
  <c r="AD90"/>
  <c r="AD91"/>
  <c r="AE90"/>
  <c r="AE91"/>
  <c r="M77"/>
  <c r="N77"/>
  <c r="O77"/>
  <c r="P77"/>
  <c r="Q77"/>
  <c r="R77"/>
  <c r="S77"/>
  <c r="T77"/>
  <c r="U77"/>
  <c r="V77"/>
  <c r="W77"/>
  <c r="W78"/>
  <c r="X77"/>
  <c r="X78"/>
  <c r="Y77"/>
  <c r="Y78"/>
  <c r="Z77"/>
  <c r="Z78"/>
  <c r="AA77"/>
  <c r="AA78"/>
  <c r="AB77"/>
  <c r="AB78"/>
  <c r="AC77"/>
  <c r="AC78"/>
  <c r="AD77"/>
  <c r="AD78"/>
  <c r="AE77"/>
  <c r="AE78"/>
  <c r="N28"/>
  <c r="O28"/>
  <c r="P28"/>
  <c r="Q28"/>
  <c r="R28"/>
  <c r="S28"/>
  <c r="T28"/>
  <c r="U28"/>
  <c r="U29"/>
  <c r="V28"/>
  <c r="V29"/>
  <c r="W28"/>
  <c r="W29"/>
  <c r="X28"/>
  <c r="X29"/>
  <c r="Y28"/>
  <c r="Y29"/>
  <c r="Z28"/>
  <c r="Z29"/>
  <c r="AA28"/>
  <c r="AA29"/>
  <c r="AB28"/>
  <c r="AB29"/>
  <c r="AC28"/>
  <c r="AC29"/>
  <c r="AD28"/>
  <c r="AD29"/>
  <c r="AE28"/>
  <c r="AE29"/>
  <c r="W81"/>
  <c r="X81"/>
  <c r="Y81"/>
  <c r="Z81"/>
  <c r="AA81"/>
  <c r="AB81"/>
  <c r="AC81"/>
  <c r="AD81"/>
  <c r="AE81"/>
  <c r="X75"/>
  <c r="W68"/>
  <c r="W75"/>
  <c r="U68"/>
  <c r="U32"/>
  <c r="V32"/>
  <c r="W32"/>
  <c r="X32"/>
  <c r="Y32"/>
  <c r="Z32"/>
  <c r="AA32"/>
  <c r="AB32"/>
  <c r="AC32"/>
  <c r="AD32"/>
  <c r="AE32"/>
  <c r="AF39"/>
  <c r="AE39"/>
  <c r="AD39"/>
  <c r="AC39"/>
  <c r="AB39"/>
  <c r="AA39"/>
  <c r="Z39"/>
  <c r="Y39"/>
  <c r="X39"/>
  <c r="W39"/>
  <c r="V39"/>
  <c r="U39"/>
  <c r="M103"/>
  <c r="N103"/>
  <c r="O103"/>
  <c r="P103"/>
  <c r="Q103"/>
  <c r="Q104"/>
  <c r="R103"/>
  <c r="R104"/>
  <c r="S103"/>
  <c r="S104"/>
  <c r="T103"/>
  <c r="T104"/>
  <c r="U103"/>
  <c r="U104"/>
  <c r="V103"/>
  <c r="V104"/>
  <c r="W103"/>
  <c r="W104"/>
  <c r="X103"/>
  <c r="X104"/>
  <c r="Y103"/>
  <c r="Y104"/>
  <c r="Z103"/>
  <c r="Z104"/>
  <c r="AA103"/>
  <c r="AA104"/>
  <c r="AB103"/>
  <c r="AB104"/>
  <c r="AC103"/>
  <c r="AC104"/>
  <c r="AD103"/>
  <c r="AD104"/>
  <c r="AE103"/>
  <c r="AE104"/>
  <c r="Q105"/>
  <c r="R105"/>
  <c r="S105"/>
  <c r="T105"/>
  <c r="U105"/>
  <c r="V105"/>
  <c r="W105"/>
  <c r="X105"/>
  <c r="Y105"/>
  <c r="Z105"/>
  <c r="AA105"/>
  <c r="AB105"/>
  <c r="AC105"/>
  <c r="AD105"/>
  <c r="AE105"/>
  <c r="Q107"/>
  <c r="R107"/>
  <c r="S107"/>
  <c r="T107"/>
  <c r="U107"/>
  <c r="V107"/>
  <c r="W107"/>
  <c r="X107"/>
  <c r="Y107"/>
  <c r="Z107"/>
  <c r="AA107"/>
  <c r="AB107"/>
  <c r="AC107"/>
  <c r="AD107"/>
  <c r="AE107"/>
  <c r="Q108"/>
  <c r="R108"/>
  <c r="S108"/>
  <c r="T108"/>
  <c r="U108"/>
  <c r="V108"/>
  <c r="W108"/>
  <c r="X108"/>
  <c r="Y108"/>
  <c r="Z108"/>
  <c r="AA108"/>
  <c r="AB108"/>
  <c r="AC108"/>
  <c r="AD108"/>
  <c r="AE108"/>
  <c r="Q110"/>
  <c r="R110"/>
  <c r="S110"/>
  <c r="T110"/>
  <c r="U110"/>
  <c r="V110"/>
  <c r="W110"/>
  <c r="X110"/>
  <c r="Y110"/>
  <c r="Z110"/>
  <c r="AA110"/>
  <c r="AB110"/>
  <c r="AC110"/>
  <c r="AD110"/>
  <c r="AE110"/>
  <c r="Q111"/>
  <c r="R111"/>
  <c r="S111"/>
  <c r="T111"/>
  <c r="U111"/>
  <c r="V111"/>
  <c r="W111"/>
  <c r="X111"/>
  <c r="Y111"/>
  <c r="Z111"/>
  <c r="AA111"/>
  <c r="AB111"/>
  <c r="AC111"/>
  <c r="AD111"/>
  <c r="AE111"/>
  <c r="Q112"/>
  <c r="R112"/>
  <c r="S112"/>
  <c r="T112"/>
  <c r="U112"/>
  <c r="V112"/>
  <c r="W112"/>
  <c r="X112"/>
  <c r="Y112"/>
  <c r="Z112"/>
  <c r="AA112"/>
  <c r="AB112"/>
  <c r="AC112"/>
  <c r="AD112"/>
  <c r="AE112"/>
  <c r="Q113"/>
  <c r="R113"/>
  <c r="S113"/>
  <c r="T113"/>
  <c r="U113"/>
  <c r="V113"/>
  <c r="W113"/>
  <c r="X113"/>
  <c r="Y113"/>
  <c r="Z113"/>
  <c r="AA113"/>
  <c r="AB113"/>
  <c r="AC113"/>
  <c r="AD113"/>
  <c r="AE113"/>
  <c r="Q114"/>
  <c r="R114"/>
  <c r="S114"/>
  <c r="T114"/>
  <c r="U114"/>
  <c r="V114"/>
  <c r="W114"/>
  <c r="X114"/>
  <c r="Y114"/>
  <c r="Z114"/>
  <c r="AA114"/>
  <c r="AB114"/>
  <c r="AC114"/>
  <c r="AD114"/>
  <c r="AE114"/>
  <c r="Q115"/>
  <c r="R115"/>
  <c r="S115"/>
  <c r="T115"/>
  <c r="U115"/>
  <c r="V115"/>
  <c r="W115"/>
  <c r="X115"/>
  <c r="Y115"/>
  <c r="Z115"/>
  <c r="AA115"/>
  <c r="AB115"/>
  <c r="AC115"/>
  <c r="AD115"/>
  <c r="AE115"/>
  <c r="Q116"/>
  <c r="R116"/>
  <c r="S116"/>
  <c r="T116"/>
  <c r="U116"/>
  <c r="V116"/>
  <c r="W116"/>
  <c r="X116"/>
  <c r="Y116"/>
  <c r="Z116"/>
  <c r="AA116"/>
  <c r="AB116"/>
  <c r="AC116"/>
  <c r="AD116"/>
  <c r="AE116"/>
  <c r="AF120"/>
  <c r="AE120"/>
  <c r="AD120"/>
  <c r="AC120"/>
  <c r="AB120"/>
  <c r="AA120"/>
  <c r="Z120"/>
  <c r="Y120"/>
  <c r="X120"/>
  <c r="W120"/>
  <c r="V120"/>
  <c r="U120"/>
  <c r="T120"/>
  <c r="S120"/>
  <c r="R120"/>
  <c r="Q120"/>
  <c r="L105"/>
  <c r="P94"/>
  <c r="Q94"/>
  <c r="R94"/>
  <c r="S94"/>
  <c r="T94"/>
  <c r="U94"/>
  <c r="V94"/>
  <c r="W94"/>
  <c r="X94"/>
  <c r="Y94"/>
  <c r="Z94"/>
  <c r="AA94"/>
  <c r="AB94"/>
  <c r="AC94"/>
  <c r="AD94"/>
  <c r="AE94"/>
  <c r="P92"/>
  <c r="Q92"/>
  <c r="R92"/>
  <c r="S92"/>
  <c r="T92"/>
  <c r="U92"/>
  <c r="V92"/>
  <c r="W92"/>
  <c r="X92"/>
  <c r="Y92"/>
  <c r="Z92"/>
  <c r="AA92"/>
  <c r="AB92"/>
  <c r="AC92"/>
  <c r="AD92"/>
  <c r="AE92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P95"/>
  <c r="Q95"/>
  <c r="R95"/>
  <c r="S95"/>
  <c r="T95"/>
  <c r="U95"/>
  <c r="V95"/>
  <c r="W95"/>
  <c r="X95"/>
  <c r="Y95"/>
  <c r="Z95"/>
  <c r="AA95"/>
  <c r="AB95"/>
  <c r="AC95"/>
  <c r="AD95"/>
  <c r="AE95"/>
  <c r="P96"/>
  <c r="Q96"/>
  <c r="R96"/>
  <c r="S96"/>
  <c r="T96"/>
  <c r="U96"/>
  <c r="V96"/>
  <c r="W96"/>
  <c r="X96"/>
  <c r="Y96"/>
  <c r="Z96"/>
  <c r="AA96"/>
  <c r="AB96"/>
  <c r="AC96"/>
  <c r="AD96"/>
  <c r="AE96"/>
  <c r="P97"/>
  <c r="Q97"/>
  <c r="R97"/>
  <c r="S97"/>
  <c r="T97"/>
  <c r="U97"/>
  <c r="V97"/>
  <c r="W97"/>
  <c r="X97"/>
  <c r="Y97"/>
  <c r="Z97"/>
  <c r="AA97"/>
  <c r="AB97"/>
  <c r="AC97"/>
  <c r="AD97"/>
  <c r="AE97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M93"/>
  <c r="L92"/>
  <c r="AF88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E88"/>
  <c r="AD88"/>
  <c r="AC88"/>
  <c r="AB88"/>
  <c r="AA88"/>
  <c r="Z88"/>
  <c r="Y88"/>
  <c r="X88"/>
  <c r="W88"/>
  <c r="W79"/>
  <c r="X79"/>
  <c r="Y79"/>
  <c r="Z79"/>
  <c r="AA79"/>
  <c r="AB79"/>
  <c r="AC79"/>
  <c r="AD79"/>
  <c r="AE79"/>
  <c r="W82"/>
  <c r="X82"/>
  <c r="Y82"/>
  <c r="Z82"/>
  <c r="AA82"/>
  <c r="AB82"/>
  <c r="AC82"/>
  <c r="AD82"/>
  <c r="AE82"/>
  <c r="W83"/>
  <c r="X83"/>
  <c r="Y83"/>
  <c r="Z83"/>
  <c r="AA83"/>
  <c r="AB83"/>
  <c r="AC83"/>
  <c r="AD83"/>
  <c r="AE83"/>
  <c r="W84"/>
  <c r="X84"/>
  <c r="Y84"/>
  <c r="Z84"/>
  <c r="AA84"/>
  <c r="AB84"/>
  <c r="AC84"/>
  <c r="AD84"/>
  <c r="AE84"/>
  <c r="U30"/>
  <c r="V30"/>
  <c r="W30"/>
  <c r="X30"/>
  <c r="Y30"/>
  <c r="Z30"/>
  <c r="AA30"/>
  <c r="AB30"/>
  <c r="AC30"/>
  <c r="AD30"/>
  <c r="AE30"/>
  <c r="U33"/>
  <c r="V33"/>
  <c r="W33"/>
  <c r="X33"/>
  <c r="Y33"/>
  <c r="Z33"/>
  <c r="AA33"/>
  <c r="AB33"/>
  <c r="AC33"/>
  <c r="AD33"/>
  <c r="AE33"/>
  <c r="U34"/>
  <c r="V34"/>
  <c r="W34"/>
  <c r="X34"/>
  <c r="Y34"/>
  <c r="Z34"/>
  <c r="AA34"/>
  <c r="AB34"/>
  <c r="AC34"/>
  <c r="AD34"/>
  <c r="AE34"/>
  <c r="U35"/>
  <c r="V35"/>
  <c r="W35"/>
  <c r="X35"/>
  <c r="Y35"/>
  <c r="Z35"/>
  <c r="AA35"/>
  <c r="AB35"/>
  <c r="AC35"/>
  <c r="AD35"/>
  <c r="AE35"/>
  <c r="L79"/>
  <c r="M54"/>
  <c r="N54"/>
  <c r="O54"/>
  <c r="P54"/>
  <c r="Q54"/>
  <c r="R54"/>
  <c r="S54"/>
  <c r="T54"/>
  <c r="U54"/>
  <c r="V54"/>
  <c r="W54"/>
  <c r="M66"/>
  <c r="N66"/>
  <c r="O66"/>
  <c r="P66"/>
  <c r="Q66"/>
  <c r="R66"/>
  <c r="S66"/>
  <c r="T66"/>
  <c r="U66"/>
  <c r="V66"/>
  <c r="W66"/>
  <c r="L66"/>
  <c r="L54"/>
  <c r="M42"/>
  <c r="N42"/>
  <c r="O42"/>
  <c r="P42"/>
  <c r="Q42"/>
  <c r="R42"/>
  <c r="S42"/>
  <c r="T42"/>
  <c r="U42"/>
  <c r="V42"/>
  <c r="W42"/>
  <c r="L42"/>
  <c r="L30"/>
  <c r="X51"/>
  <c r="W51"/>
  <c r="V51"/>
  <c r="U51"/>
  <c r="T51"/>
  <c r="S51"/>
  <c r="R51"/>
  <c r="Q51"/>
  <c r="P51"/>
  <c r="O51"/>
  <c r="X63"/>
  <c r="W63"/>
  <c r="V63"/>
  <c r="U63"/>
  <c r="T63"/>
  <c r="S63"/>
  <c r="R63"/>
  <c r="Q63"/>
  <c r="P45"/>
  <c r="P46"/>
  <c r="P47"/>
  <c r="W45"/>
  <c r="W46"/>
  <c r="W47"/>
  <c r="V45"/>
  <c r="V46"/>
  <c r="V47"/>
  <c r="U45"/>
  <c r="U46"/>
  <c r="U47"/>
  <c r="T45"/>
  <c r="T46"/>
  <c r="T47"/>
  <c r="S45"/>
  <c r="S46"/>
  <c r="S47"/>
  <c r="R45"/>
  <c r="R46"/>
  <c r="R47"/>
  <c r="Q45"/>
  <c r="Q46"/>
  <c r="Q47"/>
  <c r="O45"/>
  <c r="O46"/>
  <c r="O47"/>
  <c r="W57"/>
  <c r="W58"/>
  <c r="W59"/>
  <c r="V57"/>
  <c r="V58"/>
  <c r="V59"/>
  <c r="U57"/>
  <c r="U58"/>
  <c r="U59"/>
  <c r="T57"/>
  <c r="T58"/>
  <c r="T59"/>
  <c r="S57"/>
  <c r="S58"/>
  <c r="S59"/>
  <c r="R57"/>
  <c r="R58"/>
  <c r="R59"/>
  <c r="Q57"/>
  <c r="Q58"/>
  <c r="Q59"/>
  <c r="U70"/>
  <c r="W70"/>
  <c r="U69"/>
  <c r="W69"/>
  <c r="U71"/>
  <c r="W71"/>
  <c r="AB67"/>
  <c r="N56"/>
  <c r="N58"/>
  <c r="N57"/>
  <c r="N59"/>
  <c r="P56"/>
  <c r="P63"/>
  <c r="O56"/>
  <c r="O63"/>
  <c r="M56"/>
  <c r="L56"/>
  <c r="N60"/>
  <c r="N61"/>
  <c r="N62"/>
  <c r="N63"/>
  <c r="O58"/>
  <c r="O57"/>
  <c r="O59"/>
  <c r="P58"/>
  <c r="P57"/>
  <c r="P59"/>
  <c r="M60"/>
  <c r="M58"/>
  <c r="M57"/>
  <c r="M59"/>
  <c r="M61"/>
  <c r="M62"/>
  <c r="M63"/>
  <c r="K63"/>
  <c r="K55"/>
  <c r="G12"/>
  <c r="S68"/>
  <c r="S70"/>
  <c r="S69"/>
  <c r="S71"/>
  <c r="O60"/>
  <c r="O61"/>
  <c r="O62"/>
  <c r="P60"/>
  <c r="P61"/>
  <c r="P62"/>
  <c r="W60"/>
  <c r="V60"/>
  <c r="U60"/>
  <c r="T60"/>
  <c r="S60"/>
  <c r="R60"/>
  <c r="Q60"/>
  <c r="W61"/>
  <c r="W62"/>
  <c r="V61"/>
  <c r="V62"/>
  <c r="U61"/>
  <c r="U62"/>
  <c r="T61"/>
  <c r="T62"/>
  <c r="S61"/>
  <c r="S62"/>
  <c r="R61"/>
  <c r="R62"/>
  <c r="Q61"/>
  <c r="Q62"/>
  <c r="L58"/>
  <c r="L57"/>
  <c r="L59"/>
  <c r="L62"/>
  <c r="P105"/>
  <c r="O105"/>
  <c r="M105"/>
  <c r="N105"/>
  <c r="M94"/>
  <c r="M96"/>
  <c r="N94"/>
  <c r="N96"/>
  <c r="O94"/>
  <c r="O96"/>
  <c r="O101"/>
  <c r="L94"/>
  <c r="L96"/>
  <c r="O98"/>
  <c r="P98"/>
  <c r="Q98"/>
  <c r="R98"/>
  <c r="S98"/>
  <c r="T98"/>
  <c r="U98"/>
  <c r="V98"/>
  <c r="W98"/>
  <c r="X98"/>
  <c r="Y98"/>
  <c r="Z98"/>
  <c r="AA98"/>
  <c r="AB98"/>
  <c r="AC98"/>
  <c r="AD98"/>
  <c r="AE98"/>
  <c r="P99"/>
  <c r="P100"/>
  <c r="Q99"/>
  <c r="Q100"/>
  <c r="R99"/>
  <c r="R100"/>
  <c r="S99"/>
  <c r="S100"/>
  <c r="T99"/>
  <c r="T100"/>
  <c r="U99"/>
  <c r="U100"/>
  <c r="V99"/>
  <c r="V100"/>
  <c r="W99"/>
  <c r="W100"/>
  <c r="X99"/>
  <c r="X100"/>
  <c r="Y99"/>
  <c r="Y100"/>
  <c r="Z99"/>
  <c r="Z100"/>
  <c r="AA99"/>
  <c r="AA100"/>
  <c r="AB99"/>
  <c r="AB100"/>
  <c r="AC99"/>
  <c r="AC100"/>
  <c r="AD99"/>
  <c r="AD100"/>
  <c r="AE99"/>
  <c r="AE100"/>
  <c r="L95"/>
  <c r="L97"/>
  <c r="L100"/>
  <c r="N98"/>
  <c r="M98"/>
  <c r="N101"/>
  <c r="M101"/>
  <c r="K101"/>
  <c r="G14"/>
  <c r="M12"/>
  <c r="P12"/>
  <c r="Q12"/>
  <c r="Q32"/>
  <c r="Q34"/>
  <c r="T32"/>
  <c r="T34"/>
  <c r="T29"/>
  <c r="T30"/>
  <c r="T33"/>
  <c r="T35"/>
  <c r="T39"/>
  <c r="N92"/>
  <c r="N95"/>
  <c r="N97"/>
  <c r="N99"/>
  <c r="N100"/>
  <c r="M92"/>
  <c r="M95"/>
  <c r="M97"/>
  <c r="M99"/>
  <c r="M100"/>
  <c r="O92"/>
  <c r="O95"/>
  <c r="O97"/>
  <c r="O99"/>
  <c r="O100"/>
  <c r="S32"/>
  <c r="S34"/>
  <c r="S29"/>
  <c r="S30"/>
  <c r="S33"/>
  <c r="S35"/>
  <c r="S39"/>
  <c r="R32"/>
  <c r="R34"/>
  <c r="R39"/>
  <c r="Q39"/>
  <c r="N32"/>
  <c r="N34"/>
  <c r="Q29"/>
  <c r="Q30"/>
  <c r="R29"/>
  <c r="R30"/>
  <c r="N29"/>
  <c r="N30"/>
  <c r="R33"/>
  <c r="R35"/>
  <c r="Q33"/>
  <c r="Q35"/>
  <c r="N33"/>
  <c r="N35"/>
  <c r="M44"/>
  <c r="M46"/>
  <c r="M45"/>
  <c r="M47"/>
  <c r="M49"/>
  <c r="P107"/>
  <c r="P108"/>
  <c r="O107"/>
  <c r="O108"/>
  <c r="M107"/>
  <c r="M108"/>
  <c r="N107"/>
  <c r="N108"/>
  <c r="M6"/>
  <c r="P110"/>
  <c r="P112"/>
  <c r="P111"/>
  <c r="P113"/>
  <c r="P115"/>
  <c r="P120"/>
  <c r="O110"/>
  <c r="O112"/>
  <c r="O111"/>
  <c r="O113"/>
  <c r="O115"/>
  <c r="O120"/>
  <c r="O114"/>
  <c r="O116"/>
  <c r="P114"/>
  <c r="P116"/>
  <c r="M110"/>
  <c r="M115"/>
  <c r="M112"/>
  <c r="M111"/>
  <c r="M113"/>
  <c r="M114"/>
  <c r="M116"/>
  <c r="N110"/>
  <c r="N112"/>
  <c r="N111"/>
  <c r="N113"/>
  <c r="N115"/>
  <c r="N114"/>
  <c r="N116"/>
  <c r="L110"/>
  <c r="O117"/>
  <c r="N117"/>
  <c r="L112"/>
  <c r="L111"/>
  <c r="L113"/>
  <c r="L119"/>
  <c r="AE117"/>
  <c r="AE118"/>
  <c r="AE119"/>
  <c r="AD117"/>
  <c r="AD118"/>
  <c r="AD119"/>
  <c r="AC117"/>
  <c r="AC118"/>
  <c r="AC119"/>
  <c r="AB117"/>
  <c r="AB118"/>
  <c r="AB119"/>
  <c r="AA117"/>
  <c r="AA118"/>
  <c r="AA119"/>
  <c r="Z117"/>
  <c r="Z118"/>
  <c r="Z119"/>
  <c r="Y117"/>
  <c r="Y118"/>
  <c r="Y119"/>
  <c r="X117"/>
  <c r="X118"/>
  <c r="X119"/>
  <c r="W117"/>
  <c r="W118"/>
  <c r="W119"/>
  <c r="V117"/>
  <c r="V118"/>
  <c r="V119"/>
  <c r="U117"/>
  <c r="U118"/>
  <c r="U119"/>
  <c r="T117"/>
  <c r="T118"/>
  <c r="T119"/>
  <c r="S117"/>
  <c r="S118"/>
  <c r="S119"/>
  <c r="R117"/>
  <c r="R118"/>
  <c r="R119"/>
  <c r="Q117"/>
  <c r="Q118"/>
  <c r="Q119"/>
  <c r="P117"/>
  <c r="M117"/>
  <c r="M118"/>
  <c r="M119"/>
  <c r="N118"/>
  <c r="N119"/>
  <c r="N120"/>
  <c r="M120"/>
  <c r="K120"/>
  <c r="G15"/>
  <c r="O118"/>
  <c r="O119"/>
  <c r="P118"/>
  <c r="P119"/>
  <c r="P104"/>
  <c r="O104"/>
  <c r="M104"/>
  <c r="N104"/>
  <c r="O12"/>
  <c r="N91"/>
  <c r="M91"/>
  <c r="O91"/>
  <c r="P81"/>
  <c r="P83"/>
  <c r="P78"/>
  <c r="P79"/>
  <c r="P82"/>
  <c r="P84"/>
  <c r="V68"/>
  <c r="V75"/>
  <c r="U75"/>
  <c r="Q68"/>
  <c r="Q70"/>
  <c r="Q69"/>
  <c r="Q71"/>
  <c r="V70"/>
  <c r="V69"/>
  <c r="V71"/>
  <c r="M32"/>
  <c r="O32"/>
  <c r="P32"/>
  <c r="L32"/>
  <c r="T36"/>
  <c r="T37"/>
  <c r="T38"/>
  <c r="S36"/>
  <c r="S37"/>
  <c r="S38"/>
  <c r="M68"/>
  <c r="M70"/>
  <c r="M69"/>
  <c r="M71"/>
  <c r="T68"/>
  <c r="T70"/>
  <c r="T69"/>
  <c r="T71"/>
  <c r="T75"/>
  <c r="S75"/>
  <c r="O68"/>
  <c r="O70"/>
  <c r="O69"/>
  <c r="O71"/>
  <c r="T81"/>
  <c r="T83"/>
  <c r="T82"/>
  <c r="T78"/>
  <c r="T84"/>
  <c r="T79"/>
  <c r="V81"/>
  <c r="V83"/>
  <c r="V82"/>
  <c r="V78"/>
  <c r="V84"/>
  <c r="V79"/>
  <c r="V88"/>
  <c r="U81"/>
  <c r="U83"/>
  <c r="U82"/>
  <c r="U78"/>
  <c r="U84"/>
  <c r="U79"/>
  <c r="U88"/>
  <c r="T88"/>
  <c r="R81"/>
  <c r="R83"/>
  <c r="R78"/>
  <c r="R79"/>
  <c r="R82"/>
  <c r="R84"/>
  <c r="S78"/>
  <c r="S79"/>
  <c r="S81"/>
  <c r="S83"/>
  <c r="S82"/>
  <c r="S84"/>
  <c r="AB68"/>
  <c r="M81"/>
  <c r="N81"/>
  <c r="O81"/>
  <c r="Q81"/>
  <c r="L81"/>
  <c r="S85"/>
  <c r="S86"/>
  <c r="S87"/>
  <c r="S88"/>
  <c r="R85"/>
  <c r="R86"/>
  <c r="R87"/>
  <c r="R88"/>
  <c r="Q83"/>
  <c r="Q78"/>
  <c r="Q79"/>
  <c r="Q82"/>
  <c r="Q84"/>
  <c r="Q85"/>
  <c r="Q86"/>
  <c r="Q87"/>
  <c r="Q88"/>
  <c r="P88"/>
  <c r="M34"/>
  <c r="O34"/>
  <c r="P34"/>
  <c r="R36"/>
  <c r="L34"/>
  <c r="U36"/>
  <c r="V36"/>
  <c r="W36"/>
  <c r="X36"/>
  <c r="Y36"/>
  <c r="Z36"/>
  <c r="AA36"/>
  <c r="AB36"/>
  <c r="AC36"/>
  <c r="AD36"/>
  <c r="AE36"/>
  <c r="U37"/>
  <c r="U38"/>
  <c r="V37"/>
  <c r="V38"/>
  <c r="W37"/>
  <c r="W38"/>
  <c r="X37"/>
  <c r="X38"/>
  <c r="Y37"/>
  <c r="Y38"/>
  <c r="Z37"/>
  <c r="Z38"/>
  <c r="AA37"/>
  <c r="AA38"/>
  <c r="AB37"/>
  <c r="AB38"/>
  <c r="AC37"/>
  <c r="AC38"/>
  <c r="AD37"/>
  <c r="AD38"/>
  <c r="AE37"/>
  <c r="AE38"/>
  <c r="L33"/>
  <c r="L35"/>
  <c r="L38"/>
  <c r="Q36"/>
  <c r="P36"/>
  <c r="N36"/>
  <c r="O36"/>
  <c r="M36"/>
  <c r="M29"/>
  <c r="M30"/>
  <c r="M33"/>
  <c r="M35"/>
  <c r="M37"/>
  <c r="M38"/>
  <c r="R37"/>
  <c r="R38"/>
  <c r="Q37"/>
  <c r="Q38"/>
  <c r="P29"/>
  <c r="P30"/>
  <c r="P33"/>
  <c r="P35"/>
  <c r="P37"/>
  <c r="P38"/>
  <c r="P39"/>
  <c r="N37"/>
  <c r="N38"/>
  <c r="O29"/>
  <c r="O30"/>
  <c r="O33"/>
  <c r="O35"/>
  <c r="O37"/>
  <c r="O38"/>
  <c r="O39"/>
  <c r="N39"/>
  <c r="M39"/>
  <c r="K39"/>
  <c r="G10"/>
  <c r="O83"/>
  <c r="O78"/>
  <c r="O79"/>
  <c r="O82"/>
  <c r="O84"/>
  <c r="N83"/>
  <c r="N78"/>
  <c r="N79"/>
  <c r="N82"/>
  <c r="N84"/>
  <c r="M83"/>
  <c r="M78"/>
  <c r="M79"/>
  <c r="M82"/>
  <c r="M84"/>
  <c r="O85"/>
  <c r="O86"/>
  <c r="O87"/>
  <c r="L83"/>
  <c r="M85"/>
  <c r="M86"/>
  <c r="M87"/>
  <c r="N85"/>
  <c r="N86"/>
  <c r="N87"/>
  <c r="P85"/>
  <c r="L82"/>
  <c r="L84"/>
  <c r="L87"/>
  <c r="AE85"/>
  <c r="AE86"/>
  <c r="AE87"/>
  <c r="AD85"/>
  <c r="AD86"/>
  <c r="AD87"/>
  <c r="AC85"/>
  <c r="AC86"/>
  <c r="AC87"/>
  <c r="AB85"/>
  <c r="AB86"/>
  <c r="AB87"/>
  <c r="AA85"/>
  <c r="AA86"/>
  <c r="AA87"/>
  <c r="Z85"/>
  <c r="Z86"/>
  <c r="Z87"/>
  <c r="Y85"/>
  <c r="Y86"/>
  <c r="Y87"/>
  <c r="X85"/>
  <c r="X86"/>
  <c r="X87"/>
  <c r="W85"/>
  <c r="W86"/>
  <c r="W87"/>
  <c r="T85"/>
  <c r="T86"/>
  <c r="T87"/>
  <c r="U85"/>
  <c r="U86"/>
  <c r="U87"/>
  <c r="V85"/>
  <c r="V86"/>
  <c r="V87"/>
  <c r="P86"/>
  <c r="P87"/>
  <c r="O88"/>
  <c r="N88"/>
  <c r="M88"/>
  <c r="K88"/>
  <c r="G13"/>
  <c r="L68"/>
  <c r="N68"/>
  <c r="P68"/>
  <c r="R68"/>
  <c r="T72"/>
  <c r="T73"/>
  <c r="T74"/>
  <c r="O19"/>
  <c r="O21"/>
  <c r="N19"/>
  <c r="N21"/>
  <c r="M19"/>
  <c r="M21"/>
  <c r="M8"/>
  <c r="P19"/>
  <c r="P21"/>
  <c r="Q19"/>
  <c r="Q21"/>
  <c r="Q26"/>
  <c r="L19"/>
  <c r="Q23"/>
  <c r="M7"/>
  <c r="M10"/>
  <c r="N11"/>
  <c r="W23"/>
  <c r="W24"/>
  <c r="W25"/>
  <c r="V23"/>
  <c r="V24"/>
  <c r="V25"/>
  <c r="U23"/>
  <c r="U24"/>
  <c r="U25"/>
  <c r="T23"/>
  <c r="T24"/>
  <c r="T25"/>
  <c r="S23"/>
  <c r="S24"/>
  <c r="S25"/>
  <c r="R23"/>
  <c r="R24"/>
  <c r="R25"/>
  <c r="L21"/>
  <c r="L20"/>
  <c r="L22"/>
  <c r="L25"/>
  <c r="M11"/>
  <c r="P11"/>
  <c r="O11"/>
  <c r="Q11"/>
  <c r="O23"/>
  <c r="P23"/>
  <c r="N23"/>
  <c r="N10"/>
  <c r="L10"/>
  <c r="G7"/>
  <c r="M23"/>
  <c r="R75"/>
  <c r="Q75"/>
  <c r="P72"/>
  <c r="P70"/>
  <c r="P69"/>
  <c r="P71"/>
  <c r="P73"/>
  <c r="P74"/>
  <c r="P75"/>
  <c r="O75"/>
  <c r="N72"/>
  <c r="N70"/>
  <c r="N69"/>
  <c r="N71"/>
  <c r="N73"/>
  <c r="N74"/>
  <c r="N75"/>
  <c r="M72"/>
  <c r="M73"/>
  <c r="M74"/>
  <c r="M75"/>
  <c r="K75"/>
  <c r="L69"/>
  <c r="G17"/>
  <c r="L7"/>
  <c r="O16"/>
  <c r="O17"/>
  <c r="O20"/>
  <c r="O22"/>
  <c r="O24"/>
  <c r="O25"/>
  <c r="Q16"/>
  <c r="Q17"/>
  <c r="Q20"/>
  <c r="Q22"/>
  <c r="Q24"/>
  <c r="Q25"/>
  <c r="L8"/>
  <c r="L9"/>
  <c r="P16"/>
  <c r="P17"/>
  <c r="P20"/>
  <c r="P22"/>
  <c r="P24"/>
  <c r="P25"/>
  <c r="P26"/>
  <c r="O26"/>
  <c r="N16"/>
  <c r="N17"/>
  <c r="N20"/>
  <c r="N22"/>
  <c r="N24"/>
  <c r="N25"/>
  <c r="N26"/>
  <c r="V72"/>
  <c r="V73"/>
  <c r="V74"/>
  <c r="S72"/>
  <c r="S73"/>
  <c r="S74"/>
  <c r="R70"/>
  <c r="R69"/>
  <c r="R71"/>
  <c r="R72"/>
  <c r="R73"/>
  <c r="R74"/>
  <c r="Q72"/>
  <c r="Q73"/>
  <c r="Q74"/>
  <c r="O72"/>
  <c r="O73"/>
  <c r="O74"/>
  <c r="W72"/>
  <c r="W73"/>
  <c r="W74"/>
  <c r="U72"/>
  <c r="U73"/>
  <c r="U74"/>
  <c r="L70"/>
  <c r="L71"/>
  <c r="L74"/>
  <c r="R11"/>
  <c r="S11"/>
  <c r="M16"/>
  <c r="M17"/>
  <c r="M20"/>
  <c r="M22"/>
  <c r="M24"/>
  <c r="M25"/>
  <c r="M26"/>
  <c r="K26"/>
  <c r="N44"/>
  <c r="L44"/>
  <c r="N48"/>
  <c r="N46"/>
  <c r="N45"/>
  <c r="N47"/>
  <c r="N49"/>
  <c r="N50"/>
  <c r="M48"/>
  <c r="M50"/>
  <c r="N51"/>
  <c r="M51"/>
  <c r="K51"/>
  <c r="L46"/>
  <c r="L45"/>
  <c r="L47"/>
  <c r="L50"/>
  <c r="O48"/>
  <c r="O49"/>
  <c r="O50"/>
  <c r="Q48"/>
  <c r="Q49"/>
  <c r="Q50"/>
  <c r="R48"/>
  <c r="R49"/>
  <c r="R50"/>
  <c r="S48"/>
  <c r="S49"/>
  <c r="S50"/>
  <c r="T48"/>
  <c r="T49"/>
  <c r="T50"/>
  <c r="U48"/>
  <c r="U49"/>
  <c r="U50"/>
  <c r="V48"/>
  <c r="V49"/>
  <c r="V50"/>
  <c r="W48"/>
  <c r="W49"/>
  <c r="W50"/>
  <c r="P48"/>
  <c r="P49"/>
  <c r="P50"/>
  <c r="K43"/>
  <c r="G11"/>
  <c r="B10"/>
  <c r="U11"/>
  <c r="V11"/>
  <c r="W11"/>
  <c r="T11"/>
  <c r="G8"/>
  <c r="L64"/>
  <c r="G16"/>
  <c r="M64"/>
  <c r="G18"/>
  <c r="L6"/>
  <c r="G6"/>
  <c r="B5"/>
  <c r="L11"/>
  <c r="G4" i="1"/>
  <c r="BQ14"/>
  <c r="BQ15"/>
  <c r="BP14"/>
  <c r="Q14"/>
  <c r="BS14"/>
  <c r="BP15"/>
  <c r="Q15"/>
  <c r="BS15"/>
  <c r="K4"/>
  <c r="G45"/>
  <c r="K13"/>
  <c r="AO13"/>
  <c r="BT14"/>
  <c r="K14"/>
  <c r="AO14"/>
  <c r="BT15"/>
  <c r="K15"/>
  <c r="AO15"/>
  <c r="K16"/>
  <c r="AO16"/>
  <c r="L17"/>
  <c r="AO17"/>
  <c r="G30"/>
  <c r="H30"/>
  <c r="BD30"/>
  <c r="DH30"/>
  <c r="H31"/>
  <c r="BD31"/>
  <c r="DH31"/>
  <c r="H32"/>
  <c r="BD32"/>
  <c r="DH32"/>
  <c r="H33"/>
  <c r="BD33"/>
  <c r="DH33"/>
  <c r="H34"/>
  <c r="BD34"/>
  <c r="DH34"/>
  <c r="DH26"/>
  <c r="BE30"/>
  <c r="BG30"/>
  <c r="AS30"/>
  <c r="BA30"/>
  <c r="CV30"/>
  <c r="DK30"/>
  <c r="DK31"/>
  <c r="DK32"/>
  <c r="DK33"/>
  <c r="DK34"/>
  <c r="DK26"/>
  <c r="I31"/>
  <c r="BE31"/>
  <c r="BG31"/>
  <c r="AS31"/>
  <c r="BA31"/>
  <c r="CV31"/>
  <c r="I32"/>
  <c r="BE32"/>
  <c r="BG32"/>
  <c r="AS32"/>
  <c r="BA32"/>
  <c r="CV32"/>
  <c r="I30"/>
  <c r="CW30"/>
  <c r="CW31"/>
  <c r="CW32"/>
  <c r="CW26"/>
  <c r="CX30"/>
  <c r="CX31"/>
  <c r="CX32"/>
  <c r="CX26"/>
  <c r="CY30"/>
  <c r="CY31"/>
  <c r="CY32"/>
  <c r="CY26"/>
  <c r="CZ30"/>
  <c r="CZ31"/>
  <c r="CZ32"/>
  <c r="CZ26"/>
  <c r="DG33"/>
  <c r="I33"/>
  <c r="BE33"/>
  <c r="BG33"/>
  <c r="AS33"/>
  <c r="BA33"/>
  <c r="CV33"/>
  <c r="I34"/>
  <c r="BE34"/>
  <c r="BG34"/>
  <c r="AS34"/>
  <c r="BA34"/>
  <c r="CV34"/>
  <c r="CV26"/>
  <c r="C26"/>
  <c r="C27"/>
  <c r="AQ18"/>
  <c r="J18"/>
  <c r="K18"/>
  <c r="L18"/>
  <c r="AO18"/>
  <c r="AS26"/>
  <c r="AQ26"/>
  <c r="J26"/>
  <c r="K26"/>
  <c r="L26"/>
  <c r="AO26"/>
  <c r="J30"/>
  <c r="AZ30"/>
  <c r="AR30"/>
  <c r="AX30"/>
  <c r="BH30"/>
  <c r="BJ30"/>
  <c r="BI30"/>
  <c r="BM30"/>
  <c r="BQ30"/>
  <c r="K30"/>
  <c r="AY30"/>
  <c r="L30"/>
  <c r="AO30"/>
  <c r="J31"/>
  <c r="AZ31"/>
  <c r="AR31"/>
  <c r="AX31"/>
  <c r="BH31"/>
  <c r="BJ31"/>
  <c r="BI31"/>
  <c r="BM31"/>
  <c r="BQ31"/>
  <c r="K31"/>
  <c r="AY31"/>
  <c r="L31"/>
  <c r="AO31"/>
  <c r="J32"/>
  <c r="AZ32"/>
  <c r="AR32"/>
  <c r="AX32"/>
  <c r="BH32"/>
  <c r="BJ32"/>
  <c r="BI32"/>
  <c r="BM32"/>
  <c r="BQ32"/>
  <c r="K32"/>
  <c r="AY32"/>
  <c r="L32"/>
  <c r="AO32"/>
  <c r="J33"/>
  <c r="AZ33"/>
  <c r="AR33"/>
  <c r="AX33"/>
  <c r="BH33"/>
  <c r="BJ33"/>
  <c r="BI33"/>
  <c r="BM33"/>
  <c r="BQ33"/>
  <c r="K33"/>
  <c r="AY33"/>
  <c r="L33"/>
  <c r="AO33"/>
  <c r="J34"/>
  <c r="AZ34"/>
  <c r="AR34"/>
  <c r="AX34"/>
  <c r="BH34"/>
  <c r="BJ34"/>
  <c r="BI34"/>
  <c r="BM34"/>
  <c r="BQ34"/>
  <c r="K34"/>
  <c r="AY34"/>
  <c r="L34"/>
  <c r="AO34"/>
  <c r="G39"/>
  <c r="J39"/>
  <c r="K39"/>
  <c r="AO39"/>
  <c r="G40"/>
  <c r="J40"/>
  <c r="K40"/>
  <c r="AO40"/>
  <c r="AO45"/>
  <c r="A52"/>
  <c r="BE52"/>
  <c r="BI52"/>
  <c r="CY52"/>
  <c r="BH52"/>
  <c r="DD52"/>
  <c r="CZ52"/>
  <c r="DA52"/>
  <c r="DB52"/>
  <c r="D52"/>
  <c r="BS52"/>
  <c r="CM52"/>
  <c r="CN52"/>
  <c r="H52"/>
  <c r="AS52"/>
  <c r="AW52"/>
  <c r="I52"/>
  <c r="J52"/>
  <c r="BL52"/>
  <c r="BM52"/>
  <c r="BX52"/>
  <c r="K52"/>
  <c r="AY52"/>
  <c r="BN52"/>
  <c r="BY52"/>
  <c r="L52"/>
  <c r="AO52"/>
  <c r="A54"/>
  <c r="BE54"/>
  <c r="BI54"/>
  <c r="CY54"/>
  <c r="BH54"/>
  <c r="DD54"/>
  <c r="CZ54"/>
  <c r="DA54"/>
  <c r="DB54"/>
  <c r="D54"/>
  <c r="BS54"/>
  <c r="CM54"/>
  <c r="CN54"/>
  <c r="H54"/>
  <c r="AS54"/>
  <c r="AW54"/>
  <c r="I54"/>
  <c r="J54"/>
  <c r="BL54"/>
  <c r="BM54"/>
  <c r="BX54"/>
  <c r="K54"/>
  <c r="AY54"/>
  <c r="BN54"/>
  <c r="BY54"/>
  <c r="L54"/>
  <c r="AO54"/>
  <c r="A55"/>
  <c r="BE55"/>
  <c r="BI55"/>
  <c r="CY55"/>
  <c r="BH55"/>
  <c r="DD55"/>
  <c r="CZ55"/>
  <c r="DA55"/>
  <c r="DB55"/>
  <c r="D55"/>
  <c r="BS55"/>
  <c r="CM55"/>
  <c r="CN55"/>
  <c r="H55"/>
  <c r="AS55"/>
  <c r="AW55"/>
  <c r="I55"/>
  <c r="J55"/>
  <c r="BL55"/>
  <c r="BM55"/>
  <c r="BX55"/>
  <c r="K55"/>
  <c r="AY55"/>
  <c r="BN55"/>
  <c r="BY55"/>
  <c r="L55"/>
  <c r="AO55"/>
  <c r="H128"/>
  <c r="H129"/>
  <c r="H130"/>
  <c r="G127"/>
  <c r="O30"/>
  <c r="O31"/>
  <c r="O32"/>
  <c r="O33"/>
  <c r="O34"/>
  <c r="H132"/>
  <c r="H133"/>
  <c r="G131"/>
  <c r="H135"/>
  <c r="DB99"/>
  <c r="D99"/>
  <c r="BW99"/>
  <c r="M4"/>
  <c r="AZ4"/>
  <c r="BA4"/>
  <c r="N4"/>
  <c r="DB100"/>
  <c r="D100"/>
  <c r="BW100"/>
  <c r="DB101"/>
  <c r="D101"/>
  <c r="BW101"/>
  <c r="CD101"/>
  <c r="H101"/>
  <c r="AS101"/>
  <c r="AW101"/>
  <c r="I101"/>
  <c r="J101"/>
  <c r="CB101"/>
  <c r="K101"/>
  <c r="M101"/>
  <c r="D102"/>
  <c r="BW102"/>
  <c r="CD102"/>
  <c r="H102"/>
  <c r="AS102"/>
  <c r="AW102"/>
  <c r="I102"/>
  <c r="J102"/>
  <c r="CB102"/>
  <c r="K102"/>
  <c r="M102"/>
  <c r="DB103"/>
  <c r="D103"/>
  <c r="BW103"/>
  <c r="CD103"/>
  <c r="H103"/>
  <c r="AS103"/>
  <c r="AW103"/>
  <c r="I103"/>
  <c r="J103"/>
  <c r="CB103"/>
  <c r="K103"/>
  <c r="M103"/>
  <c r="DB104"/>
  <c r="D104"/>
  <c r="BW104"/>
  <c r="CD104"/>
  <c r="H104"/>
  <c r="AS104"/>
  <c r="AW104"/>
  <c r="I104"/>
  <c r="J104"/>
  <c r="CB104"/>
  <c r="K104"/>
  <c r="M104"/>
  <c r="DB105"/>
  <c r="D105"/>
  <c r="BW105"/>
  <c r="G105"/>
  <c r="CD105"/>
  <c r="H105"/>
  <c r="AS105"/>
  <c r="AW105"/>
  <c r="I105"/>
  <c r="J105"/>
  <c r="CB105"/>
  <c r="K105"/>
  <c r="M105"/>
  <c r="N101"/>
  <c r="N102"/>
  <c r="N103"/>
  <c r="N104"/>
  <c r="N105"/>
  <c r="G100"/>
  <c r="CD100"/>
  <c r="H100"/>
  <c r="AS100"/>
  <c r="AW100"/>
  <c r="I100"/>
  <c r="J100"/>
  <c r="CB100"/>
  <c r="K100"/>
  <c r="M100"/>
  <c r="N100"/>
  <c r="G99"/>
  <c r="CD99"/>
  <c r="H99"/>
  <c r="AS99"/>
  <c r="AW99"/>
  <c r="I99"/>
  <c r="J99"/>
  <c r="CB99"/>
  <c r="K99"/>
  <c r="M99"/>
  <c r="N99"/>
  <c r="AM99"/>
  <c r="AM100"/>
  <c r="AM101"/>
  <c r="AM102"/>
  <c r="AM103"/>
  <c r="AM104"/>
  <c r="AM105"/>
  <c r="H139"/>
  <c r="G138"/>
  <c r="G142"/>
  <c r="H136"/>
  <c r="G134"/>
  <c r="G126"/>
  <c r="G125"/>
  <c r="G63"/>
  <c r="I63"/>
  <c r="I84"/>
  <c r="J84"/>
  <c r="K84"/>
  <c r="AO84"/>
  <c r="J85"/>
  <c r="K85"/>
  <c r="AO85"/>
  <c r="I86"/>
  <c r="J86"/>
  <c r="K86"/>
  <c r="AO86"/>
  <c r="AY99"/>
  <c r="CC99"/>
  <c r="L99"/>
  <c r="AO99"/>
  <c r="AY100"/>
  <c r="CC100"/>
  <c r="L100"/>
  <c r="AO100"/>
  <c r="AY101"/>
  <c r="CC101"/>
  <c r="L101"/>
  <c r="AO101"/>
  <c r="AY102"/>
  <c r="CC102"/>
  <c r="L102"/>
  <c r="AO102"/>
  <c r="AY103"/>
  <c r="CC103"/>
  <c r="L103"/>
  <c r="AO103"/>
  <c r="AY104"/>
  <c r="CC104"/>
  <c r="L104"/>
  <c r="AO104"/>
  <c r="AY105"/>
  <c r="CC105"/>
  <c r="L105"/>
  <c r="AO105"/>
  <c r="AO2"/>
  <c r="J126"/>
  <c r="J128"/>
  <c r="J129"/>
  <c r="J130"/>
  <c r="J132"/>
  <c r="J133"/>
  <c r="J134"/>
  <c r="J137"/>
  <c r="J139"/>
  <c r="J142"/>
  <c r="CH45"/>
  <c r="CI45"/>
  <c r="C46"/>
  <c r="J125"/>
  <c r="J63"/>
  <c r="AV62"/>
  <c r="J62"/>
  <c r="J64"/>
  <c r="AT64"/>
  <c r="AV64"/>
  <c r="A2"/>
  <c r="G61"/>
  <c r="G65"/>
  <c r="K62"/>
  <c r="AR64"/>
  <c r="K64"/>
  <c r="D63"/>
  <c r="D64"/>
  <c r="AS64"/>
  <c r="G76"/>
  <c r="EZ64"/>
  <c r="FF64"/>
  <c r="ES64"/>
  <c r="EO64"/>
  <c r="EM64"/>
  <c r="EI64"/>
  <c r="EH64"/>
  <c r="EG64"/>
  <c r="EE64"/>
  <c r="EC64"/>
  <c r="DW64"/>
  <c r="DP64"/>
  <c r="DU64"/>
  <c r="DO64"/>
  <c r="DT64"/>
  <c r="DN64"/>
  <c r="DS64"/>
  <c r="DM64"/>
  <c r="DR64"/>
  <c r="DL64"/>
  <c r="A1"/>
  <c r="AK64"/>
  <c r="AJ64"/>
  <c r="L64"/>
  <c r="AI64"/>
  <c r="AH64"/>
  <c r="AG64"/>
  <c r="AF64"/>
  <c r="AE64"/>
  <c r="AD64"/>
  <c r="AB64"/>
  <c r="AC64"/>
  <c r="AA64"/>
  <c r="T64"/>
  <c r="S30"/>
  <c r="S31"/>
  <c r="G31"/>
  <c r="S32"/>
  <c r="S33"/>
  <c r="S34"/>
  <c r="CA29"/>
  <c r="CB29"/>
  <c r="CC29"/>
  <c r="CD29"/>
  <c r="CE29"/>
  <c r="CF29"/>
  <c r="CG29"/>
  <c r="CH29"/>
  <c r="CI29"/>
  <c r="CI30"/>
  <c r="CJ29"/>
  <c r="CK29"/>
  <c r="CL29"/>
  <c r="CM29"/>
  <c r="CM31"/>
  <c r="CK31"/>
  <c r="CM32"/>
  <c r="CK32"/>
  <c r="G26"/>
  <c r="S53"/>
  <c r="BE53"/>
  <c r="CY53"/>
  <c r="BI53"/>
  <c r="BH53"/>
  <c r="DD53"/>
  <c r="CZ53"/>
  <c r="DA53"/>
  <c r="DB53"/>
  <c r="D53"/>
  <c r="BS53"/>
  <c r="CM53"/>
  <c r="CN53"/>
  <c r="G53"/>
  <c r="H53"/>
  <c r="AS53"/>
  <c r="AW53"/>
  <c r="I53"/>
  <c r="J53"/>
  <c r="BX53"/>
  <c r="BL53"/>
  <c r="AY53"/>
  <c r="BY53"/>
  <c r="S54"/>
  <c r="S55"/>
  <c r="S56"/>
  <c r="BE56"/>
  <c r="CY56"/>
  <c r="BI56"/>
  <c r="BH56"/>
  <c r="DD56"/>
  <c r="CZ56"/>
  <c r="DA56"/>
  <c r="DB56"/>
  <c r="D56"/>
  <c r="BS56"/>
  <c r="G56"/>
  <c r="CM56"/>
  <c r="CN56"/>
  <c r="H56"/>
  <c r="AS56"/>
  <c r="AW56"/>
  <c r="I56"/>
  <c r="J56"/>
  <c r="BX56"/>
  <c r="BL56"/>
  <c r="AY56"/>
  <c r="BY56"/>
  <c r="S57"/>
  <c r="BE57"/>
  <c r="CY57"/>
  <c r="BI57"/>
  <c r="BH57"/>
  <c r="DD57"/>
  <c r="CZ57"/>
  <c r="DA57"/>
  <c r="DB57"/>
  <c r="D57"/>
  <c r="BS57"/>
  <c r="CM57"/>
  <c r="CN57"/>
  <c r="H57"/>
  <c r="AS57"/>
  <c r="AW57"/>
  <c r="I57"/>
  <c r="J57"/>
  <c r="BX57"/>
  <c r="BL57"/>
  <c r="AY57"/>
  <c r="BY57"/>
  <c r="S58"/>
  <c r="BE58"/>
  <c r="CY58"/>
  <c r="BI58"/>
  <c r="BH58"/>
  <c r="DD58"/>
  <c r="CZ58"/>
  <c r="DA58"/>
  <c r="DB58"/>
  <c r="D58"/>
  <c r="BS58"/>
  <c r="G58"/>
  <c r="CM58"/>
  <c r="CN58"/>
  <c r="H58"/>
  <c r="AS58"/>
  <c r="AW58"/>
  <c r="I58"/>
  <c r="J58"/>
  <c r="BX58"/>
  <c r="BL58"/>
  <c r="AY58"/>
  <c r="BY58"/>
  <c r="S59"/>
  <c r="BE59"/>
  <c r="CY59"/>
  <c r="BI59"/>
  <c r="BH59"/>
  <c r="DD59"/>
  <c r="CZ59"/>
  <c r="DA59"/>
  <c r="DB59"/>
  <c r="D59"/>
  <c r="BS59"/>
  <c r="G59"/>
  <c r="CM59"/>
  <c r="CN59"/>
  <c r="H59"/>
  <c r="AS59"/>
  <c r="AW59"/>
  <c r="I59"/>
  <c r="J59"/>
  <c r="BX59"/>
  <c r="BL59"/>
  <c r="AY59"/>
  <c r="BY59"/>
  <c r="S52"/>
  <c r="CD30"/>
  <c r="CD31"/>
  <c r="CD32"/>
  <c r="CD33"/>
  <c r="CD34"/>
  <c r="S99"/>
  <c r="BF99"/>
  <c r="CY99"/>
  <c r="S100"/>
  <c r="BF100"/>
  <c r="CY100"/>
  <c r="S101"/>
  <c r="BF101"/>
  <c r="CY101"/>
  <c r="BH102"/>
  <c r="DD102"/>
  <c r="DG102"/>
  <c r="G102"/>
  <c r="S102"/>
  <c r="BF102"/>
  <c r="CN102"/>
  <c r="C102"/>
  <c r="BQ102"/>
  <c r="BO102"/>
  <c r="CE102"/>
  <c r="CI102"/>
  <c r="BT102"/>
  <c r="S103"/>
  <c r="BF103"/>
  <c r="CY103"/>
  <c r="G103"/>
  <c r="S104"/>
  <c r="BF104"/>
  <c r="CY104"/>
  <c r="G104"/>
  <c r="S105"/>
  <c r="BF105"/>
  <c r="CY105"/>
  <c r="G111"/>
  <c r="S111"/>
  <c r="BF111"/>
  <c r="BH111"/>
  <c r="DD111"/>
  <c r="CZ111"/>
  <c r="DB111"/>
  <c r="D111"/>
  <c r="BW111"/>
  <c r="CD111"/>
  <c r="H111"/>
  <c r="AS111"/>
  <c r="AW111"/>
  <c r="I111"/>
  <c r="J111"/>
  <c r="AM111"/>
  <c r="G112"/>
  <c r="S112"/>
  <c r="BF112"/>
  <c r="BH112"/>
  <c r="DD112"/>
  <c r="CZ112"/>
  <c r="DB112"/>
  <c r="D112"/>
  <c r="BW112"/>
  <c r="CD112"/>
  <c r="H112"/>
  <c r="AS112"/>
  <c r="AW112"/>
  <c r="I112"/>
  <c r="J112"/>
  <c r="AM112"/>
  <c r="S113"/>
  <c r="BF113"/>
  <c r="BH113"/>
  <c r="DD113"/>
  <c r="CZ113"/>
  <c r="DB113"/>
  <c r="D113"/>
  <c r="BW113"/>
  <c r="CD113"/>
  <c r="H113"/>
  <c r="AS113"/>
  <c r="AW113"/>
  <c r="I113"/>
  <c r="J113"/>
  <c r="AM113"/>
  <c r="J140"/>
  <c r="H140"/>
  <c r="G147"/>
  <c r="G148"/>
  <c r="G149"/>
  <c r="G150"/>
  <c r="D84"/>
  <c r="BI102"/>
  <c r="BR102"/>
  <c r="CF102"/>
  <c r="CJ102"/>
  <c r="BP111"/>
  <c r="BQ111"/>
  <c r="BO111"/>
  <c r="CE111"/>
  <c r="CI111"/>
  <c r="CB111"/>
  <c r="K111"/>
  <c r="AY111"/>
  <c r="BI111"/>
  <c r="BR111"/>
  <c r="CF111"/>
  <c r="CJ111"/>
  <c r="CC111"/>
  <c r="L111"/>
  <c r="AO111"/>
  <c r="BP112"/>
  <c r="BQ112"/>
  <c r="BO112"/>
  <c r="CE112"/>
  <c r="CI112"/>
  <c r="CB112"/>
  <c r="K112"/>
  <c r="AY112"/>
  <c r="BI112"/>
  <c r="BR112"/>
  <c r="CF112"/>
  <c r="CJ112"/>
  <c r="CC112"/>
  <c r="L112"/>
  <c r="AO112"/>
  <c r="BP113"/>
  <c r="BQ113"/>
  <c r="BO113"/>
  <c r="CE113"/>
  <c r="CI113"/>
  <c r="CB113"/>
  <c r="K113"/>
  <c r="AY113"/>
  <c r="BI113"/>
  <c r="BR113"/>
  <c r="CF113"/>
  <c r="CJ113"/>
  <c r="CC113"/>
  <c r="L113"/>
  <c r="AO113"/>
  <c r="CA46"/>
  <c r="CA47"/>
  <c r="BZ46"/>
  <c r="S47"/>
  <c r="S46"/>
  <c r="S49"/>
  <c r="BD49"/>
  <c r="BS49"/>
  <c r="BT49"/>
  <c r="BV49"/>
  <c r="H49"/>
  <c r="AQ49"/>
  <c r="E49"/>
  <c r="BJ49"/>
  <c r="J49"/>
  <c r="D49"/>
  <c r="S48"/>
  <c r="BD48"/>
  <c r="EZ96"/>
  <c r="FF96"/>
  <c r="ES96"/>
  <c r="EO96"/>
  <c r="EM96"/>
  <c r="G68"/>
  <c r="J68"/>
  <c r="K68"/>
  <c r="EH68"/>
  <c r="G69"/>
  <c r="J69"/>
  <c r="K69"/>
  <c r="EH69"/>
  <c r="J70"/>
  <c r="K70"/>
  <c r="EH70"/>
  <c r="G67"/>
  <c r="J71"/>
  <c r="K71"/>
  <c r="EH71"/>
  <c r="G73"/>
  <c r="J73"/>
  <c r="K73"/>
  <c r="EH73"/>
  <c r="J74"/>
  <c r="K74"/>
  <c r="EH74"/>
  <c r="G75"/>
  <c r="J75"/>
  <c r="K75"/>
  <c r="EH75"/>
  <c r="J76"/>
  <c r="AR76"/>
  <c r="K76"/>
  <c r="EH76"/>
  <c r="G77"/>
  <c r="J77"/>
  <c r="K77"/>
  <c r="EH77"/>
  <c r="EH67"/>
  <c r="EH72"/>
  <c r="EG96"/>
  <c r="K88"/>
  <c r="ED88"/>
  <c r="K89"/>
  <c r="ED89"/>
  <c r="K90"/>
  <c r="ED90"/>
  <c r="EC96"/>
  <c r="DW96"/>
  <c r="AK96"/>
  <c r="AJ96"/>
  <c r="AI96"/>
  <c r="AH96"/>
  <c r="AE96"/>
  <c r="AD96"/>
  <c r="AB96"/>
  <c r="AC96"/>
  <c r="C116"/>
  <c r="J83"/>
  <c r="K83"/>
  <c r="L83"/>
  <c r="AE83"/>
  <c r="AD83"/>
  <c r="AG83"/>
  <c r="AF83"/>
  <c r="AI83"/>
  <c r="AH83"/>
  <c r="Q83"/>
  <c r="R83"/>
  <c r="AA83"/>
  <c r="P53"/>
  <c r="P56"/>
  <c r="P57"/>
  <c r="AV58"/>
  <c r="BU58"/>
  <c r="AQ58"/>
  <c r="BC58"/>
  <c r="BB58"/>
  <c r="P58"/>
  <c r="BW59"/>
  <c r="AQ59"/>
  <c r="BC59"/>
  <c r="BB59"/>
  <c r="P59"/>
  <c r="BW53"/>
  <c r="AQ53"/>
  <c r="BB53"/>
  <c r="BW56"/>
  <c r="AQ56"/>
  <c r="BB56"/>
  <c r="BW57"/>
  <c r="AQ57"/>
  <c r="BB57"/>
  <c r="BL14"/>
  <c r="BL15"/>
  <c r="CA53"/>
  <c r="CB53"/>
  <c r="CC53"/>
  <c r="CG53"/>
  <c r="CH53"/>
  <c r="CE53"/>
  <c r="CJ53"/>
  <c r="BU53"/>
  <c r="BC53"/>
  <c r="CQ53"/>
  <c r="CR53"/>
  <c r="CS53"/>
  <c r="AV57"/>
  <c r="BC57"/>
  <c r="CQ57"/>
  <c r="CR57"/>
  <c r="CS57"/>
  <c r="DE53"/>
  <c r="DF53"/>
  <c r="DG53"/>
  <c r="DH53"/>
  <c r="DI53"/>
  <c r="DJ53"/>
  <c r="DE56"/>
  <c r="DF56"/>
  <c r="DG56"/>
  <c r="DH56"/>
  <c r="DI56"/>
  <c r="DJ56"/>
  <c r="DE57"/>
  <c r="DF57"/>
  <c r="DG57"/>
  <c r="DH57"/>
  <c r="DI57"/>
  <c r="DJ57"/>
  <c r="DE58"/>
  <c r="DF58"/>
  <c r="DG58"/>
  <c r="DH58"/>
  <c r="DI58"/>
  <c r="DJ58"/>
  <c r="DE59"/>
  <c r="DF59"/>
  <c r="DG59"/>
  <c r="DH59"/>
  <c r="DI59"/>
  <c r="DJ59"/>
  <c r="C117"/>
  <c r="C118"/>
  <c r="C119"/>
  <c r="BJ100"/>
  <c r="CN101"/>
  <c r="C101"/>
  <c r="BU101"/>
  <c r="BJ101"/>
  <c r="BU102"/>
  <c r="BJ102"/>
  <c r="CN103"/>
  <c r="C103"/>
  <c r="BU103"/>
  <c r="BJ103"/>
  <c r="CN104"/>
  <c r="C104"/>
  <c r="BU104"/>
  <c r="BJ104"/>
  <c r="BJ105"/>
  <c r="BU106"/>
  <c r="BJ106"/>
  <c r="BU107"/>
  <c r="BJ107"/>
  <c r="BJ108"/>
  <c r="CN99"/>
  <c r="C99"/>
  <c r="BU99"/>
  <c r="BJ99"/>
  <c r="BH103"/>
  <c r="DD103"/>
  <c r="CZ103"/>
  <c r="DA103"/>
  <c r="BT103"/>
  <c r="BQ103"/>
  <c r="BO103"/>
  <c r="CE103"/>
  <c r="CI103"/>
  <c r="BB102"/>
  <c r="BS102"/>
  <c r="CG102"/>
  <c r="CK102"/>
  <c r="AR102"/>
  <c r="BS103"/>
  <c r="CG103"/>
  <c r="CK103"/>
  <c r="BF106"/>
  <c r="BF107"/>
  <c r="BF108"/>
  <c r="BH107"/>
  <c r="BM116"/>
  <c r="BN116"/>
  <c r="BP116"/>
  <c r="BQ116"/>
  <c r="BM117"/>
  <c r="BN117"/>
  <c r="BP117"/>
  <c r="BQ117"/>
  <c r="BM118"/>
  <c r="BN118"/>
  <c r="BP118"/>
  <c r="BQ118"/>
  <c r="BM119"/>
  <c r="BN119"/>
  <c r="BP119"/>
  <c r="BQ119"/>
  <c r="BK117"/>
  <c r="BK118"/>
  <c r="BK119"/>
  <c r="BK116"/>
  <c r="D95"/>
  <c r="AV102"/>
  <c r="CA102"/>
  <c r="AQ102"/>
  <c r="BA102"/>
  <c r="P102"/>
  <c r="AB102"/>
  <c r="C67"/>
  <c r="CM30"/>
  <c r="AB85"/>
  <c r="AC85"/>
  <c r="I83"/>
  <c r="EZ85"/>
  <c r="FF85"/>
  <c r="ES85"/>
  <c r="EO85"/>
  <c r="EM85"/>
  <c r="EI85"/>
  <c r="EG85"/>
  <c r="EC85"/>
  <c r="DW85"/>
  <c r="DP85"/>
  <c r="DU85"/>
  <c r="DO85"/>
  <c r="DT85"/>
  <c r="DN85"/>
  <c r="DS85"/>
  <c r="DM85"/>
  <c r="DR85"/>
  <c r="DL85"/>
  <c r="AK85"/>
  <c r="AJ85"/>
  <c r="BL22"/>
  <c r="BL21"/>
  <c r="C72"/>
  <c r="S4"/>
  <c r="D8"/>
  <c r="J8"/>
  <c r="D7"/>
  <c r="CF34"/>
  <c r="CN29"/>
  <c r="CO29"/>
  <c r="CO34"/>
  <c r="CP29"/>
  <c r="CQ29"/>
  <c r="CQ34"/>
  <c r="CN34"/>
  <c r="CP34"/>
  <c r="AO83"/>
  <c r="CD53"/>
  <c r="CI53"/>
  <c r="CA54"/>
  <c r="CB54"/>
  <c r="CC54"/>
  <c r="CG54"/>
  <c r="CH54"/>
  <c r="CD54"/>
  <c r="CI54"/>
  <c r="CA55"/>
  <c r="CB55"/>
  <c r="CC55"/>
  <c r="CG55"/>
  <c r="CH55"/>
  <c r="CD55"/>
  <c r="CI55"/>
  <c r="CA56"/>
  <c r="CB56"/>
  <c r="CC56"/>
  <c r="CG56"/>
  <c r="CH56"/>
  <c r="CD56"/>
  <c r="CI56"/>
  <c r="CA57"/>
  <c r="CB57"/>
  <c r="CC57"/>
  <c r="CG57"/>
  <c r="CH57"/>
  <c r="CD57"/>
  <c r="CI57"/>
  <c r="CA58"/>
  <c r="CB58"/>
  <c r="CC58"/>
  <c r="CG58"/>
  <c r="CH58"/>
  <c r="CD58"/>
  <c r="CI58"/>
  <c r="CA59"/>
  <c r="CB59"/>
  <c r="CC59"/>
  <c r="CG59"/>
  <c r="CH59"/>
  <c r="CD59"/>
  <c r="CI59"/>
  <c r="CA52"/>
  <c r="CB52"/>
  <c r="CC52"/>
  <c r="CG52"/>
  <c r="CH52"/>
  <c r="CD52"/>
  <c r="CI52"/>
  <c r="J43"/>
  <c r="K43"/>
  <c r="AO43"/>
  <c r="S40"/>
  <c r="AT76"/>
  <c r="AV76"/>
  <c r="C76"/>
  <c r="CF31"/>
  <c r="CQ31"/>
  <c r="CI31"/>
  <c r="CJ31"/>
  <c r="CL31"/>
  <c r="BI47"/>
  <c r="AM47"/>
  <c r="BI46"/>
  <c r="AM46"/>
  <c r="BK46"/>
  <c r="BN46"/>
  <c r="CF32"/>
  <c r="AB82"/>
  <c r="AB76"/>
  <c r="AB77"/>
  <c r="AB75"/>
  <c r="C74"/>
  <c r="AB74"/>
  <c r="AB73"/>
  <c r="AB71"/>
  <c r="C70"/>
  <c r="AB70"/>
  <c r="AB69"/>
  <c r="AB68"/>
  <c r="AB63"/>
  <c r="AB66"/>
  <c r="AB62"/>
  <c r="AB86"/>
  <c r="C84"/>
  <c r="AB84"/>
  <c r="AB83"/>
  <c r="AV53"/>
  <c r="CE54"/>
  <c r="CJ54"/>
  <c r="CE55"/>
  <c r="CJ55"/>
  <c r="BC56"/>
  <c r="CE56"/>
  <c r="CJ56"/>
  <c r="AV56"/>
  <c r="CE58"/>
  <c r="CJ58"/>
  <c r="AV59"/>
  <c r="CE59"/>
  <c r="CJ59"/>
  <c r="CE52"/>
  <c r="CJ52"/>
  <c r="CQ56"/>
  <c r="CR56"/>
  <c r="CS56"/>
  <c r="CQ58"/>
  <c r="CR58"/>
  <c r="CS58"/>
  <c r="CQ59"/>
  <c r="CR59"/>
  <c r="CS59"/>
  <c r="BM49"/>
  <c r="AR49"/>
  <c r="AS49"/>
  <c r="AV49"/>
  <c r="B49"/>
  <c r="BH49"/>
  <c r="AY49"/>
  <c r="BI49"/>
  <c r="L49"/>
  <c r="C49"/>
  <c r="BB49"/>
  <c r="I49"/>
  <c r="BG49"/>
  <c r="K49"/>
  <c r="DL49"/>
  <c r="DM49"/>
  <c r="DR49"/>
  <c r="DN49"/>
  <c r="DS49"/>
  <c r="DO49"/>
  <c r="DT49"/>
  <c r="DP49"/>
  <c r="DU49"/>
  <c r="T49"/>
  <c r="AB49"/>
  <c r="AC49"/>
  <c r="AE49"/>
  <c r="AD49"/>
  <c r="AG49"/>
  <c r="AF49"/>
  <c r="AI49"/>
  <c r="AH49"/>
  <c r="AK49"/>
  <c r="AJ49"/>
  <c r="AQ1"/>
  <c r="AA49"/>
  <c r="AU49"/>
  <c r="AW49"/>
  <c r="AX49"/>
  <c r="AZ49"/>
  <c r="BA49"/>
  <c r="BN49"/>
  <c r="BO49"/>
  <c r="DW49"/>
  <c r="DZ49"/>
  <c r="EA49"/>
  <c r="EC49"/>
  <c r="EE49"/>
  <c r="EG49"/>
  <c r="EI49"/>
  <c r="EM49"/>
  <c r="EO49"/>
  <c r="ES49"/>
  <c r="FB49"/>
  <c r="FD49"/>
  <c r="FF49"/>
  <c r="CI34"/>
  <c r="BJ47"/>
  <c r="BK47"/>
  <c r="BL47"/>
  <c r="BL46"/>
  <c r="BJ46"/>
  <c r="BH45"/>
  <c r="EZ112"/>
  <c r="FF112"/>
  <c r="EZ113"/>
  <c r="FF113"/>
  <c r="EZ111"/>
  <c r="FF111"/>
  <c r="EZ100"/>
  <c r="CN100"/>
  <c r="C100"/>
  <c r="BP100"/>
  <c r="FF100"/>
  <c r="EZ101"/>
  <c r="BP101"/>
  <c r="FF101"/>
  <c r="EZ102"/>
  <c r="BP102"/>
  <c r="FF102"/>
  <c r="EZ103"/>
  <c r="BP103"/>
  <c r="FF103"/>
  <c r="EZ104"/>
  <c r="BP104"/>
  <c r="FF104"/>
  <c r="EZ105"/>
  <c r="CN105"/>
  <c r="C105"/>
  <c r="BP105"/>
  <c r="FF105"/>
  <c r="EZ106"/>
  <c r="BP106"/>
  <c r="FF106"/>
  <c r="EZ107"/>
  <c r="BP107"/>
  <c r="FF107"/>
  <c r="EZ108"/>
  <c r="BP108"/>
  <c r="FF108"/>
  <c r="EZ99"/>
  <c r="BP99"/>
  <c r="FF99"/>
  <c r="EZ53"/>
  <c r="FF53"/>
  <c r="EZ56"/>
  <c r="FF56"/>
  <c r="EZ57"/>
  <c r="FF57"/>
  <c r="EZ58"/>
  <c r="FF58"/>
  <c r="EZ59"/>
  <c r="FF59"/>
  <c r="R212"/>
  <c r="FB33"/>
  <c r="FB34"/>
  <c r="FB35"/>
  <c r="FB36"/>
  <c r="FB37"/>
  <c r="FB38"/>
  <c r="FB39"/>
  <c r="FB40"/>
  <c r="FB41"/>
  <c r="FB42"/>
  <c r="FB43"/>
  <c r="FB44"/>
  <c r="FB45"/>
  <c r="FB46"/>
  <c r="FB47"/>
  <c r="FB48"/>
  <c r="FB50"/>
  <c r="FB51"/>
  <c r="BR178"/>
  <c r="BR179"/>
  <c r="BR180"/>
  <c r="BR181"/>
  <c r="BR182"/>
  <c r="BR183"/>
  <c r="BR184"/>
  <c r="BR185"/>
  <c r="BR186"/>
  <c r="BR187"/>
  <c r="BR188"/>
  <c r="BR189"/>
  <c r="BR190"/>
  <c r="BR191"/>
  <c r="BR192"/>
  <c r="BR193"/>
  <c r="BR194"/>
  <c r="BR195"/>
  <c r="BR196"/>
  <c r="BR197"/>
  <c r="BR198"/>
  <c r="BR199"/>
  <c r="BR200"/>
  <c r="BR201"/>
  <c r="BR202"/>
  <c r="BR203"/>
  <c r="BR204"/>
  <c r="BR205"/>
  <c r="BR206"/>
  <c r="BR207"/>
  <c r="BR208"/>
  <c r="BR209"/>
  <c r="BR210"/>
  <c r="BR211"/>
  <c r="BR212"/>
  <c r="BR213"/>
  <c r="BR214"/>
  <c r="BR215"/>
  <c r="BR216"/>
  <c r="BR217"/>
  <c r="BR218"/>
  <c r="BR219"/>
  <c r="BR220"/>
  <c r="BR221"/>
  <c r="BR222"/>
  <c r="BR223"/>
  <c r="BR224"/>
  <c r="BS217"/>
  <c r="BS218"/>
  <c r="BS219"/>
  <c r="BS220"/>
  <c r="BS221"/>
  <c r="BS222"/>
  <c r="BS223"/>
  <c r="BS224"/>
  <c r="BS178"/>
  <c r="BS179"/>
  <c r="BS180"/>
  <c r="BS181"/>
  <c r="BS182"/>
  <c r="BS183"/>
  <c r="BS184"/>
  <c r="BS185"/>
  <c r="BS186"/>
  <c r="BS187"/>
  <c r="BS188"/>
  <c r="BS189"/>
  <c r="BS190"/>
  <c r="BS191"/>
  <c r="BS192"/>
  <c r="BS193"/>
  <c r="BS194"/>
  <c r="BS195"/>
  <c r="BS196"/>
  <c r="BS197"/>
  <c r="BS198"/>
  <c r="BS199"/>
  <c r="BS200"/>
  <c r="BS201"/>
  <c r="BS202"/>
  <c r="BS203"/>
  <c r="BS204"/>
  <c r="BS205"/>
  <c r="BS206"/>
  <c r="BS207"/>
  <c r="BS208"/>
  <c r="BS209"/>
  <c r="BS210"/>
  <c r="BS211"/>
  <c r="BS212"/>
  <c r="BS213"/>
  <c r="BS214"/>
  <c r="BS215"/>
  <c r="BS216"/>
  <c r="BS177"/>
  <c r="CJ178"/>
  <c r="CJ179"/>
  <c r="CJ180"/>
  <c r="CJ181"/>
  <c r="CJ182"/>
  <c r="CJ183"/>
  <c r="CJ184"/>
  <c r="CJ185"/>
  <c r="CJ186"/>
  <c r="CJ187"/>
  <c r="CJ188"/>
  <c r="CJ189"/>
  <c r="CJ190"/>
  <c r="CJ191"/>
  <c r="CJ192"/>
  <c r="CJ193"/>
  <c r="CJ194"/>
  <c r="CJ195"/>
  <c r="CJ196"/>
  <c r="CJ197"/>
  <c r="CJ198"/>
  <c r="CJ199"/>
  <c r="CJ200"/>
  <c r="CJ201"/>
  <c r="CJ202"/>
  <c r="CJ203"/>
  <c r="CJ204"/>
  <c r="CJ205"/>
  <c r="CJ206"/>
  <c r="CJ207"/>
  <c r="CJ208"/>
  <c r="CJ209"/>
  <c r="CJ210"/>
  <c r="CJ211"/>
  <c r="CJ212"/>
  <c r="CJ213"/>
  <c r="CJ214"/>
  <c r="CJ215"/>
  <c r="CJ216"/>
  <c r="CJ217"/>
  <c r="CJ218"/>
  <c r="CJ219"/>
  <c r="CJ220"/>
  <c r="CJ221"/>
  <c r="CJ222"/>
  <c r="CJ223"/>
  <c r="CJ224"/>
  <c r="CJ225"/>
  <c r="CJ226"/>
  <c r="CJ227"/>
  <c r="CJ228"/>
  <c r="CJ229"/>
  <c r="CJ230"/>
  <c r="CJ231"/>
  <c r="CJ232"/>
  <c r="CJ233"/>
  <c r="CJ234"/>
  <c r="CJ235"/>
  <c r="CJ236"/>
  <c r="CJ237"/>
  <c r="CJ238"/>
  <c r="CJ239"/>
  <c r="CJ240"/>
  <c r="CJ241"/>
  <c r="CJ242"/>
  <c r="CJ243"/>
  <c r="CJ244"/>
  <c r="CJ245"/>
  <c r="CJ246"/>
  <c r="CJ247"/>
  <c r="CJ248"/>
  <c r="CJ249"/>
  <c r="CJ250"/>
  <c r="CJ251"/>
  <c r="FD33"/>
  <c r="FD48"/>
  <c r="CX111"/>
  <c r="FE111"/>
  <c r="CX102"/>
  <c r="FE102"/>
  <c r="CX112"/>
  <c r="FE112"/>
  <c r="CX113"/>
  <c r="FE113"/>
  <c r="FD18"/>
  <c r="FD10"/>
  <c r="FD6"/>
  <c r="FD5"/>
  <c r="FB6"/>
  <c r="FB7"/>
  <c r="FB8"/>
  <c r="FB9"/>
  <c r="FB10"/>
  <c r="FB11"/>
  <c r="FB12"/>
  <c r="FB13"/>
  <c r="FB14"/>
  <c r="FB15"/>
  <c r="FB16"/>
  <c r="FB17"/>
  <c r="FB18"/>
  <c r="FB19"/>
  <c r="FB20"/>
  <c r="FB21"/>
  <c r="FB22"/>
  <c r="FB23"/>
  <c r="FB24"/>
  <c r="FB25"/>
  <c r="FB26"/>
  <c r="FB27"/>
  <c r="FB28"/>
  <c r="FB29"/>
  <c r="FB30"/>
  <c r="FB31"/>
  <c r="FB32"/>
  <c r="FB5"/>
  <c r="EZ5"/>
  <c r="FF5"/>
  <c r="EZ6"/>
  <c r="FF6"/>
  <c r="EZ7"/>
  <c r="FF7"/>
  <c r="EZ8"/>
  <c r="FF8"/>
  <c r="EZ9"/>
  <c r="FF9"/>
  <c r="EZ10"/>
  <c r="FF10"/>
  <c r="EZ11"/>
  <c r="FF11"/>
  <c r="EZ12"/>
  <c r="FF12"/>
  <c r="EZ13"/>
  <c r="FF13"/>
  <c r="EZ14"/>
  <c r="FF14"/>
  <c r="EZ15"/>
  <c r="FF15"/>
  <c r="EZ16"/>
  <c r="FF16"/>
  <c r="EZ17"/>
  <c r="FF17"/>
  <c r="EZ18"/>
  <c r="FF18"/>
  <c r="EZ19"/>
  <c r="FF19"/>
  <c r="EZ20"/>
  <c r="FF20"/>
  <c r="EZ23"/>
  <c r="FF23"/>
  <c r="EZ24"/>
  <c r="FF24"/>
  <c r="EZ25"/>
  <c r="FF25"/>
  <c r="EZ26"/>
  <c r="FF26"/>
  <c r="EZ27"/>
  <c r="FF27"/>
  <c r="EZ28"/>
  <c r="FF28"/>
  <c r="EZ30"/>
  <c r="FF30"/>
  <c r="EZ31"/>
  <c r="FF31"/>
  <c r="EZ32"/>
  <c r="FF32"/>
  <c r="EZ33"/>
  <c r="FF33"/>
  <c r="EZ34"/>
  <c r="FF34"/>
  <c r="EZ35"/>
  <c r="FF35"/>
  <c r="EZ36"/>
  <c r="FF36"/>
  <c r="EZ37"/>
  <c r="FF37"/>
  <c r="EZ38"/>
  <c r="FF38"/>
  <c r="EZ39"/>
  <c r="FF39"/>
  <c r="EZ40"/>
  <c r="FF40"/>
  <c r="EZ41"/>
  <c r="FF41"/>
  <c r="EZ42"/>
  <c r="FF42"/>
  <c r="EZ43"/>
  <c r="FF43"/>
  <c r="EZ44"/>
  <c r="FF44"/>
  <c r="EZ45"/>
  <c r="FF45"/>
  <c r="FF46"/>
  <c r="FF47"/>
  <c r="FF48"/>
  <c r="EZ50"/>
  <c r="FF50"/>
  <c r="EZ51"/>
  <c r="FF51"/>
  <c r="EZ60"/>
  <c r="FF60"/>
  <c r="EZ61"/>
  <c r="FF61"/>
  <c r="FF62"/>
  <c r="FF63"/>
  <c r="FF65"/>
  <c r="FF66"/>
  <c r="EZ67"/>
  <c r="FF67"/>
  <c r="FF68"/>
  <c r="FF69"/>
  <c r="FF70"/>
  <c r="FF71"/>
  <c r="EZ72"/>
  <c r="FF72"/>
  <c r="FF73"/>
  <c r="FF74"/>
  <c r="FF75"/>
  <c r="EZ76"/>
  <c r="FF76"/>
  <c r="EZ77"/>
  <c r="FF77"/>
  <c r="EZ78"/>
  <c r="FF78"/>
  <c r="EZ79"/>
  <c r="FF79"/>
  <c r="EZ80"/>
  <c r="FF80"/>
  <c r="EZ81"/>
  <c r="FF81"/>
  <c r="EZ82"/>
  <c r="FF82"/>
  <c r="EZ83"/>
  <c r="FF83"/>
  <c r="EZ84"/>
  <c r="FF84"/>
  <c r="EZ86"/>
  <c r="FF86"/>
  <c r="EZ87"/>
  <c r="FF87"/>
  <c r="EZ88"/>
  <c r="FF88"/>
  <c r="EZ89"/>
  <c r="FF89"/>
  <c r="EZ90"/>
  <c r="FF90"/>
  <c r="EZ91"/>
  <c r="FF91"/>
  <c r="EZ92"/>
  <c r="FF92"/>
  <c r="EZ93"/>
  <c r="FF93"/>
  <c r="EZ94"/>
  <c r="FF94"/>
  <c r="EZ95"/>
  <c r="FF95"/>
  <c r="EZ97"/>
  <c r="FF97"/>
  <c r="EZ98"/>
  <c r="FF98"/>
  <c r="EZ109"/>
  <c r="FF109"/>
  <c r="EZ110"/>
  <c r="FF110"/>
  <c r="EZ114"/>
  <c r="FF114"/>
  <c r="EZ115"/>
  <c r="FF115"/>
  <c r="EZ120"/>
  <c r="FF120"/>
  <c r="EZ121"/>
  <c r="FF121"/>
  <c r="EZ122"/>
  <c r="FF122"/>
  <c r="EZ123"/>
  <c r="FF123"/>
  <c r="EZ124"/>
  <c r="FF124"/>
  <c r="FF125"/>
  <c r="EZ4"/>
  <c r="FF4"/>
  <c r="FD7"/>
  <c r="FD8"/>
  <c r="FD9"/>
  <c r="FD11"/>
  <c r="FD12"/>
  <c r="FD13"/>
  <c r="FD14"/>
  <c r="FD15"/>
  <c r="FD16"/>
  <c r="FD17"/>
  <c r="FD19"/>
  <c r="FD20"/>
  <c r="FD21"/>
  <c r="FD22"/>
  <c r="FD23"/>
  <c r="FD24"/>
  <c r="FD25"/>
  <c r="FD26"/>
  <c r="FD27"/>
  <c r="FD28"/>
  <c r="FD29"/>
  <c r="FD30"/>
  <c r="FD31"/>
  <c r="FD32"/>
  <c r="FD34"/>
  <c r="FD35"/>
  <c r="FD36"/>
  <c r="FD37"/>
  <c r="FD38"/>
  <c r="FD39"/>
  <c r="FD40"/>
  <c r="FD41"/>
  <c r="FD42"/>
  <c r="FD43"/>
  <c r="FD44"/>
  <c r="FD45"/>
  <c r="FD46"/>
  <c r="FD47"/>
  <c r="FD50"/>
  <c r="FD51"/>
  <c r="DX2"/>
  <c r="AM177"/>
  <c r="AL178"/>
  <c r="G17"/>
  <c r="DZ45"/>
  <c r="EN2"/>
  <c r="AM183"/>
  <c r="EF78"/>
  <c r="EB61"/>
  <c r="EB62"/>
  <c r="D212"/>
  <c r="BT111"/>
  <c r="BT112"/>
  <c r="BT113"/>
  <c r="L88"/>
  <c r="ES88"/>
  <c r="EO88"/>
  <c r="EM88"/>
  <c r="EI88"/>
  <c r="EG88"/>
  <c r="EC88"/>
  <c r="DW88"/>
  <c r="DP88"/>
  <c r="DU88"/>
  <c r="DO88"/>
  <c r="DT88"/>
  <c r="DN88"/>
  <c r="DS88"/>
  <c r="DM88"/>
  <c r="DR88"/>
  <c r="DL88"/>
  <c r="AK88"/>
  <c r="AJ88"/>
  <c r="AI88"/>
  <c r="AH88"/>
  <c r="AG88"/>
  <c r="AF88"/>
  <c r="AE88"/>
  <c r="AD88"/>
  <c r="AB88"/>
  <c r="AC88"/>
  <c r="AA88"/>
  <c r="T88"/>
  <c r="BN22"/>
  <c r="BN21"/>
  <c r="BO21"/>
  <c r="BO22"/>
  <c r="S16"/>
  <c r="AK5"/>
  <c r="AK6"/>
  <c r="AK7"/>
  <c r="AK8"/>
  <c r="AK9"/>
  <c r="AK10"/>
  <c r="AK11"/>
  <c r="AK12"/>
  <c r="S13"/>
  <c r="AK13"/>
  <c r="S14"/>
  <c r="AK14"/>
  <c r="S15"/>
  <c r="AK15"/>
  <c r="AK16"/>
  <c r="S17"/>
  <c r="AK17"/>
  <c r="S18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S39"/>
  <c r="AK39"/>
  <c r="AK40"/>
  <c r="S41"/>
  <c r="AK41"/>
  <c r="S42"/>
  <c r="AK42"/>
  <c r="S43"/>
  <c r="AK43"/>
  <c r="AK44"/>
  <c r="AK45"/>
  <c r="AK46"/>
  <c r="AK47"/>
  <c r="AK48"/>
  <c r="AK50"/>
  <c r="AK51"/>
  <c r="AK52"/>
  <c r="AK53"/>
  <c r="AK54"/>
  <c r="AK55"/>
  <c r="AK56"/>
  <c r="AK57"/>
  <c r="AK58"/>
  <c r="AK59"/>
  <c r="AK60"/>
  <c r="AK61"/>
  <c r="AK62"/>
  <c r="AK63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6"/>
  <c r="AK87"/>
  <c r="AK89"/>
  <c r="AK90"/>
  <c r="AK91"/>
  <c r="AK92"/>
  <c r="AK93"/>
  <c r="AK94"/>
  <c r="AK95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4"/>
  <c r="AK3"/>
  <c r="CF30"/>
  <c r="CQ30"/>
  <c r="CQ32"/>
  <c r="CF33"/>
  <c r="CQ33"/>
  <c r="H137"/>
  <c r="AE140"/>
  <c r="AD140"/>
  <c r="AG140"/>
  <c r="AF140"/>
  <c r="AB140"/>
  <c r="AC140"/>
  <c r="AI140"/>
  <c r="AH140"/>
  <c r="AJ140"/>
  <c r="AA140"/>
  <c r="J141"/>
  <c r="L141"/>
  <c r="AA141"/>
  <c r="L143"/>
  <c r="AA143"/>
  <c r="AB124"/>
  <c r="AC124"/>
  <c r="AE124"/>
  <c r="AD124"/>
  <c r="AG124"/>
  <c r="AF124"/>
  <c r="AI124"/>
  <c r="AH124"/>
  <c r="AJ124"/>
  <c r="AA124"/>
  <c r="AA123"/>
  <c r="AA122"/>
  <c r="AA121"/>
  <c r="AB114"/>
  <c r="AC114"/>
  <c r="AE114"/>
  <c r="AD114"/>
  <c r="AG114"/>
  <c r="AF114"/>
  <c r="AI114"/>
  <c r="AH114"/>
  <c r="AJ114"/>
  <c r="AA114"/>
  <c r="AA113"/>
  <c r="AV112"/>
  <c r="BB112"/>
  <c r="BS112"/>
  <c r="CG112"/>
  <c r="CK112"/>
  <c r="AR112"/>
  <c r="BY112"/>
  <c r="AQ112"/>
  <c r="BA112"/>
  <c r="P112"/>
  <c r="AB112"/>
  <c r="AC112"/>
  <c r="AE112"/>
  <c r="AD112"/>
  <c r="AG112"/>
  <c r="AF112"/>
  <c r="AI112"/>
  <c r="AH112"/>
  <c r="AJ112"/>
  <c r="AA112"/>
  <c r="AV111"/>
  <c r="BB111"/>
  <c r="BS111"/>
  <c r="CG111"/>
  <c r="CK111"/>
  <c r="AR111"/>
  <c r="BY111"/>
  <c r="AQ111"/>
  <c r="BA111"/>
  <c r="P111"/>
  <c r="AB111"/>
  <c r="AC111"/>
  <c r="AE111"/>
  <c r="AD111"/>
  <c r="AG111"/>
  <c r="AF111"/>
  <c r="AI111"/>
  <c r="AH111"/>
  <c r="AJ111"/>
  <c r="AA111"/>
  <c r="AB110"/>
  <c r="AC110"/>
  <c r="AE110"/>
  <c r="AD110"/>
  <c r="AG110"/>
  <c r="AF110"/>
  <c r="AI110"/>
  <c r="AH110"/>
  <c r="AJ110"/>
  <c r="AA110"/>
  <c r="BN102"/>
  <c r="AC102"/>
  <c r="AE102"/>
  <c r="AD102"/>
  <c r="AG102"/>
  <c r="AF102"/>
  <c r="AI102"/>
  <c r="AH102"/>
  <c r="AJ102"/>
  <c r="AA102"/>
  <c r="AJ97"/>
  <c r="AB97"/>
  <c r="AC97"/>
  <c r="AE97"/>
  <c r="AD97"/>
  <c r="AG97"/>
  <c r="AF97"/>
  <c r="AI97"/>
  <c r="AH97"/>
  <c r="AA97"/>
  <c r="AJ95"/>
  <c r="CH34"/>
  <c r="CG34"/>
  <c r="AJ94"/>
  <c r="AB94"/>
  <c r="AC94"/>
  <c r="AE94"/>
  <c r="AD94"/>
  <c r="AG94"/>
  <c r="AF94"/>
  <c r="AI94"/>
  <c r="AH94"/>
  <c r="AA94"/>
  <c r="K93"/>
  <c r="L93"/>
  <c r="AA93"/>
  <c r="AJ92"/>
  <c r="AA91"/>
  <c r="L90"/>
  <c r="AA90"/>
  <c r="L89"/>
  <c r="AA89"/>
  <c r="AJ87"/>
  <c r="AB87"/>
  <c r="AC87"/>
  <c r="AE87"/>
  <c r="AD87"/>
  <c r="AG87"/>
  <c r="AF87"/>
  <c r="AI87"/>
  <c r="AH87"/>
  <c r="AA87"/>
  <c r="AJ86"/>
  <c r="AJ84"/>
  <c r="AJ83"/>
  <c r="AC83"/>
  <c r="J82"/>
  <c r="K82"/>
  <c r="L82"/>
  <c r="AA82"/>
  <c r="AJ79"/>
  <c r="AJ78"/>
  <c r="L77"/>
  <c r="AA77"/>
  <c r="AS76"/>
  <c r="L76"/>
  <c r="AA76"/>
  <c r="L75"/>
  <c r="AA75"/>
  <c r="L74"/>
  <c r="AA74"/>
  <c r="L73"/>
  <c r="AA73"/>
  <c r="AA72"/>
  <c r="I67"/>
  <c r="AE67"/>
  <c r="AD67"/>
  <c r="AJ67"/>
  <c r="AA67"/>
  <c r="L71"/>
  <c r="AE71"/>
  <c r="AD71"/>
  <c r="AG71"/>
  <c r="AF71"/>
  <c r="AJ71"/>
  <c r="AA71"/>
  <c r="L70"/>
  <c r="AE70"/>
  <c r="AD70"/>
  <c r="AG70"/>
  <c r="AF70"/>
  <c r="AI70"/>
  <c r="AH70"/>
  <c r="AJ70"/>
  <c r="AA70"/>
  <c r="L69"/>
  <c r="AE69"/>
  <c r="AD69"/>
  <c r="AG69"/>
  <c r="AF69"/>
  <c r="AI69"/>
  <c r="AH69"/>
  <c r="AJ69"/>
  <c r="AA69"/>
  <c r="L68"/>
  <c r="AE68"/>
  <c r="AD68"/>
  <c r="AG68"/>
  <c r="AF68"/>
  <c r="AI68"/>
  <c r="AH68"/>
  <c r="AJ68"/>
  <c r="AA68"/>
  <c r="AJ66"/>
  <c r="AJ65"/>
  <c r="AJ63"/>
  <c r="L62"/>
  <c r="AE62"/>
  <c r="AD62"/>
  <c r="AG62"/>
  <c r="AF62"/>
  <c r="AI62"/>
  <c r="AH62"/>
  <c r="AA62"/>
  <c r="AJ61"/>
  <c r="AB61"/>
  <c r="AC61"/>
  <c r="AJ60"/>
  <c r="AB60"/>
  <c r="AC60"/>
  <c r="AE60"/>
  <c r="AD60"/>
  <c r="AG60"/>
  <c r="AF60"/>
  <c r="AI60"/>
  <c r="AH60"/>
  <c r="AA60"/>
  <c r="AB59"/>
  <c r="AC59"/>
  <c r="AE59"/>
  <c r="AD59"/>
  <c r="AJ59"/>
  <c r="AB58"/>
  <c r="AC58"/>
  <c r="AE58"/>
  <c r="AD58"/>
  <c r="AJ58"/>
  <c r="CE57"/>
  <c r="CJ57"/>
  <c r="BU57"/>
  <c r="AB57"/>
  <c r="AC57"/>
  <c r="AE57"/>
  <c r="AD57"/>
  <c r="AJ57"/>
  <c r="AB56"/>
  <c r="AC56"/>
  <c r="AE56"/>
  <c r="AD56"/>
  <c r="AJ56"/>
  <c r="AJ55"/>
  <c r="AJ54"/>
  <c r="AB53"/>
  <c r="AC53"/>
  <c r="AE53"/>
  <c r="AD53"/>
  <c r="AJ53"/>
  <c r="AJ52"/>
  <c r="AJ51"/>
  <c r="AB51"/>
  <c r="AC51"/>
  <c r="AE51"/>
  <c r="AD51"/>
  <c r="AG51"/>
  <c r="AF51"/>
  <c r="AI51"/>
  <c r="AH51"/>
  <c r="AA51"/>
  <c r="AJ50"/>
  <c r="AB50"/>
  <c r="AC50"/>
  <c r="AE50"/>
  <c r="AD50"/>
  <c r="AG50"/>
  <c r="AF50"/>
  <c r="AI50"/>
  <c r="AH50"/>
  <c r="AA50"/>
  <c r="AJ48"/>
  <c r="AJ47"/>
  <c r="AJ46"/>
  <c r="AJ44"/>
  <c r="AB44"/>
  <c r="AC44"/>
  <c r="AE44"/>
  <c r="AD44"/>
  <c r="AG44"/>
  <c r="AF44"/>
  <c r="AI44"/>
  <c r="AH44"/>
  <c r="AA44"/>
  <c r="H43"/>
  <c r="AS43"/>
  <c r="AY43"/>
  <c r="L43"/>
  <c r="AA43"/>
  <c r="AJ41"/>
  <c r="AJ40"/>
  <c r="AJ38"/>
  <c r="AJ36"/>
  <c r="AJ35"/>
  <c r="AB35"/>
  <c r="AC35"/>
  <c r="AE35"/>
  <c r="AD35"/>
  <c r="AG35"/>
  <c r="AF35"/>
  <c r="AI35"/>
  <c r="AH35"/>
  <c r="AA35"/>
  <c r="AJ31"/>
  <c r="AJ33"/>
  <c r="AJ30"/>
  <c r="AJ29"/>
  <c r="AJ19"/>
  <c r="AB19"/>
  <c r="AC19"/>
  <c r="AE19"/>
  <c r="AD19"/>
  <c r="AG19"/>
  <c r="AF19"/>
  <c r="AI19"/>
  <c r="AH19"/>
  <c r="AA19"/>
  <c r="AJ17"/>
  <c r="C17"/>
  <c r="AB17"/>
  <c r="AC17"/>
  <c r="AE17"/>
  <c r="AD17"/>
  <c r="AG17"/>
  <c r="AF17"/>
  <c r="AJ13"/>
  <c r="AJ7"/>
  <c r="AB7"/>
  <c r="AC7"/>
  <c r="AJ8"/>
  <c r="AJ6"/>
  <c r="AJ4"/>
  <c r="AJ5"/>
  <c r="AJ3"/>
  <c r="AB3"/>
  <c r="AC3"/>
  <c r="AE3"/>
  <c r="AD3"/>
  <c r="AG3"/>
  <c r="AF3"/>
  <c r="AI3"/>
  <c r="AH3"/>
  <c r="AA3"/>
  <c r="AJ2"/>
  <c r="AJ9"/>
  <c r="AJ10"/>
  <c r="AJ11"/>
  <c r="AJ12"/>
  <c r="AJ14"/>
  <c r="AJ15"/>
  <c r="AJ16"/>
  <c r="AJ18"/>
  <c r="AJ20"/>
  <c r="AJ21"/>
  <c r="AJ22"/>
  <c r="AJ23"/>
  <c r="AJ24"/>
  <c r="AJ25"/>
  <c r="AJ26"/>
  <c r="AJ27"/>
  <c r="AJ28"/>
  <c r="AJ32"/>
  <c r="AJ34"/>
  <c r="AJ37"/>
  <c r="AJ39"/>
  <c r="AJ42"/>
  <c r="AJ43"/>
  <c r="AJ45"/>
  <c r="AJ62"/>
  <c r="AJ72"/>
  <c r="AJ73"/>
  <c r="AJ74"/>
  <c r="AJ75"/>
  <c r="AJ76"/>
  <c r="AJ77"/>
  <c r="AJ80"/>
  <c r="AJ81"/>
  <c r="AJ82"/>
  <c r="AJ89"/>
  <c r="AJ90"/>
  <c r="AJ91"/>
  <c r="AJ93"/>
  <c r="AJ98"/>
  <c r="AJ99"/>
  <c r="AJ100"/>
  <c r="AJ101"/>
  <c r="AJ103"/>
  <c r="AJ104"/>
  <c r="AJ105"/>
  <c r="AJ106"/>
  <c r="AJ107"/>
  <c r="AJ108"/>
  <c r="AJ109"/>
  <c r="AJ113"/>
  <c r="AJ115"/>
  <c r="AJ116"/>
  <c r="AJ117"/>
  <c r="AJ118"/>
  <c r="AJ119"/>
  <c r="AJ120"/>
  <c r="AJ121"/>
  <c r="AJ122"/>
  <c r="AJ123"/>
  <c r="AJ125"/>
  <c r="AJ126"/>
  <c r="AJ127"/>
  <c r="AJ128"/>
  <c r="AJ129"/>
  <c r="AJ130"/>
  <c r="AJ131"/>
  <c r="AJ132"/>
  <c r="AJ133"/>
  <c r="AJ134"/>
  <c r="AJ135"/>
  <c r="AJ136"/>
  <c r="AJ137"/>
  <c r="AJ138"/>
  <c r="AJ139"/>
  <c r="AJ141"/>
  <c r="AJ142"/>
  <c r="AJ143"/>
  <c r="AJ1"/>
  <c r="M111"/>
  <c r="N111"/>
  <c r="M112"/>
  <c r="M113"/>
  <c r="N112"/>
  <c r="N113"/>
  <c r="CI32"/>
  <c r="CJ32"/>
  <c r="CL32"/>
  <c r="BH108"/>
  <c r="BH106"/>
  <c r="BH105"/>
  <c r="S3"/>
  <c r="CY112"/>
  <c r="CY113"/>
  <c r="CY111"/>
  <c r="CY108"/>
  <c r="CY107"/>
  <c r="CY106"/>
  <c r="CY102"/>
  <c r="BC18"/>
  <c r="BC17"/>
  <c r="AI4"/>
  <c r="AH4"/>
  <c r="AG27"/>
  <c r="AF27"/>
  <c r="AG25"/>
  <c r="AG26"/>
  <c r="AG24"/>
  <c r="AF25"/>
  <c r="AE2"/>
  <c r="AB4"/>
  <c r="AV113"/>
  <c r="BB113"/>
  <c r="BS113"/>
  <c r="CG113"/>
  <c r="CK113"/>
  <c r="AR113"/>
  <c r="P113"/>
  <c r="AB113"/>
  <c r="AC2"/>
  <c r="AC4"/>
  <c r="AB18"/>
  <c r="AC18"/>
  <c r="AB20"/>
  <c r="AC20"/>
  <c r="AB23"/>
  <c r="AC23"/>
  <c r="AB24"/>
  <c r="AC24"/>
  <c r="AB25"/>
  <c r="AC25"/>
  <c r="AB26"/>
  <c r="AC26"/>
  <c r="AB27"/>
  <c r="AC27"/>
  <c r="AB28"/>
  <c r="AC28"/>
  <c r="AB36"/>
  <c r="AC36"/>
  <c r="AB37"/>
  <c r="AC37"/>
  <c r="AB38"/>
  <c r="AC38"/>
  <c r="AB39"/>
  <c r="AC39"/>
  <c r="AB40"/>
  <c r="AC40"/>
  <c r="AB41"/>
  <c r="AC41"/>
  <c r="AB42"/>
  <c r="AC42"/>
  <c r="AB43"/>
  <c r="AC43"/>
  <c r="AB45"/>
  <c r="AC45"/>
  <c r="AC62"/>
  <c r="AC63"/>
  <c r="AC66"/>
  <c r="AB67"/>
  <c r="AC67"/>
  <c r="AC68"/>
  <c r="AC69"/>
  <c r="AC70"/>
  <c r="AC71"/>
  <c r="AB72"/>
  <c r="AC72"/>
  <c r="AC73"/>
  <c r="AC74"/>
  <c r="AC75"/>
  <c r="AC76"/>
  <c r="AC77"/>
  <c r="AB78"/>
  <c r="AC78"/>
  <c r="AB79"/>
  <c r="AC79"/>
  <c r="AB80"/>
  <c r="AC80"/>
  <c r="AB81"/>
  <c r="AC81"/>
  <c r="AC82"/>
  <c r="AC84"/>
  <c r="AC86"/>
  <c r="AB89"/>
  <c r="AC89"/>
  <c r="AB90"/>
  <c r="AC90"/>
  <c r="AB91"/>
  <c r="AC91"/>
  <c r="AB92"/>
  <c r="AC92"/>
  <c r="AB93"/>
  <c r="AC93"/>
  <c r="AB95"/>
  <c r="AC95"/>
  <c r="AB98"/>
  <c r="AC98"/>
  <c r="AB109"/>
  <c r="AC109"/>
  <c r="AC113"/>
  <c r="AB115"/>
  <c r="AC115"/>
  <c r="AB120"/>
  <c r="AC120"/>
  <c r="AB121"/>
  <c r="AC121"/>
  <c r="AB122"/>
  <c r="AC122"/>
  <c r="AB123"/>
  <c r="AC123"/>
  <c r="AB125"/>
  <c r="AC125"/>
  <c r="AB126"/>
  <c r="AC126"/>
  <c r="AB127"/>
  <c r="AC127"/>
  <c r="AB128"/>
  <c r="AC128"/>
  <c r="AB129"/>
  <c r="AC129"/>
  <c r="AB130"/>
  <c r="AC130"/>
  <c r="AB131"/>
  <c r="AC131"/>
  <c r="AB132"/>
  <c r="AC132"/>
  <c r="AB133"/>
  <c r="AC133"/>
  <c r="AB134"/>
  <c r="AC134"/>
  <c r="AB135"/>
  <c r="AC135"/>
  <c r="AB136"/>
  <c r="AC136"/>
  <c r="AB137"/>
  <c r="AC137"/>
  <c r="AB138"/>
  <c r="AC138"/>
  <c r="AB139"/>
  <c r="AC139"/>
  <c r="AB141"/>
  <c r="AC141"/>
  <c r="AB142"/>
  <c r="AC142"/>
  <c r="AB143"/>
  <c r="AC143"/>
  <c r="AC144"/>
  <c r="DE111"/>
  <c r="BG113"/>
  <c r="BK113"/>
  <c r="BY113"/>
  <c r="AQ113"/>
  <c r="O113"/>
  <c r="BG112"/>
  <c r="BK112"/>
  <c r="O112"/>
  <c r="BG111"/>
  <c r="BK111"/>
  <c r="O111"/>
  <c r="BH100"/>
  <c r="DD100"/>
  <c r="CZ100"/>
  <c r="DA100"/>
  <c r="BH101"/>
  <c r="DD101"/>
  <c r="CZ101"/>
  <c r="DA101"/>
  <c r="CZ102"/>
  <c r="DA102"/>
  <c r="BH104"/>
  <c r="DD104"/>
  <c r="CZ104"/>
  <c r="DA104"/>
  <c r="DD105"/>
  <c r="CZ105"/>
  <c r="DA105"/>
  <c r="BH99"/>
  <c r="DD99"/>
  <c r="CZ99"/>
  <c r="DA99"/>
  <c r="O53"/>
  <c r="O56"/>
  <c r="O57"/>
  <c r="O58"/>
  <c r="O59"/>
  <c r="CJ30"/>
  <c r="CN33"/>
  <c r="CK30"/>
  <c r="CO33"/>
  <c r="CL30"/>
  <c r="CP33"/>
  <c r="CI33"/>
  <c r="CC31"/>
  <c r="CB31"/>
  <c r="CA31"/>
  <c r="CA34"/>
  <c r="BZ34"/>
  <c r="CA33"/>
  <c r="BZ33"/>
  <c r="CA32"/>
  <c r="BZ32"/>
  <c r="BZ31"/>
  <c r="CA30"/>
  <c r="BZ30"/>
  <c r="CB30"/>
  <c r="CC30"/>
  <c r="CB32"/>
  <c r="CC32"/>
  <c r="CB33"/>
  <c r="CC33"/>
  <c r="CB34"/>
  <c r="CC34"/>
  <c r="C38"/>
  <c r="ES34"/>
  <c r="EQ34"/>
  <c r="EO34"/>
  <c r="EM34"/>
  <c r="EI34"/>
  <c r="EG34"/>
  <c r="EE34"/>
  <c r="EC34"/>
  <c r="EA34"/>
  <c r="DY34"/>
  <c r="DW34"/>
  <c r="CM34"/>
  <c r="CL34"/>
  <c r="CK34"/>
  <c r="CJ34"/>
  <c r="CE34"/>
  <c r="ES32"/>
  <c r="EQ32"/>
  <c r="EO32"/>
  <c r="EM32"/>
  <c r="EI32"/>
  <c r="EG32"/>
  <c r="EE32"/>
  <c r="EC32"/>
  <c r="EA32"/>
  <c r="DY32"/>
  <c r="DW32"/>
  <c r="CP32"/>
  <c r="CO32"/>
  <c r="CN32"/>
  <c r="CH32"/>
  <c r="CG32"/>
  <c r="CE32"/>
  <c r="CH31"/>
  <c r="CN30"/>
  <c r="CN31"/>
  <c r="CO30"/>
  <c r="CO31"/>
  <c r="CP30"/>
  <c r="CP31"/>
  <c r="CH30"/>
  <c r="CH33"/>
  <c r="ES37"/>
  <c r="EO37"/>
  <c r="EM37"/>
  <c r="EI37"/>
  <c r="EG37"/>
  <c r="EE37"/>
  <c r="EC37"/>
  <c r="EA37"/>
  <c r="DY37"/>
  <c r="DW37"/>
  <c r="AI37"/>
  <c r="AH37"/>
  <c r="AE37"/>
  <c r="AD37"/>
  <c r="CG30"/>
  <c r="CG31"/>
  <c r="CG33"/>
  <c r="CL33"/>
  <c r="CM33"/>
  <c r="CK33"/>
  <c r="CJ33"/>
  <c r="CE31"/>
  <c r="CE33"/>
  <c r="CE30"/>
  <c r="CC28"/>
  <c r="BA113"/>
  <c r="BO101"/>
  <c r="CE101"/>
  <c r="CI101"/>
  <c r="BQ101"/>
  <c r="BT101"/>
  <c r="CG101"/>
  <c r="CK101"/>
  <c r="BS101"/>
  <c r="BG101"/>
  <c r="BK101"/>
  <c r="BN101"/>
  <c r="BN100"/>
  <c r="BN103"/>
  <c r="BN104"/>
  <c r="BN105"/>
  <c r="BN106"/>
  <c r="BN107"/>
  <c r="BN108"/>
  <c r="BN99"/>
  <c r="BU100"/>
  <c r="BU105"/>
  <c r="BU108"/>
  <c r="ER43"/>
  <c r="EP115"/>
  <c r="BQ104"/>
  <c r="BO104"/>
  <c r="CE104"/>
  <c r="CI104"/>
  <c r="EL19"/>
  <c r="EL20"/>
  <c r="EL23"/>
  <c r="EL24"/>
  <c r="EL25"/>
  <c r="EL27"/>
  <c r="EL17"/>
  <c r="EF93"/>
  <c r="EF82"/>
  <c r="EF83"/>
  <c r="DZ50"/>
  <c r="DW20"/>
  <c r="DW21"/>
  <c r="DY21"/>
  <c r="EA21"/>
  <c r="EC21"/>
  <c r="EE21"/>
  <c r="EG21"/>
  <c r="EI21"/>
  <c r="EM21"/>
  <c r="EO21"/>
  <c r="EQ21"/>
  <c r="ES21"/>
  <c r="EU21"/>
  <c r="EW21"/>
  <c r="DW22"/>
  <c r="DY22"/>
  <c r="EA22"/>
  <c r="EC22"/>
  <c r="EE22"/>
  <c r="EG22"/>
  <c r="EI22"/>
  <c r="EM22"/>
  <c r="EO22"/>
  <c r="EQ22"/>
  <c r="ES22"/>
  <c r="EU22"/>
  <c r="EW22"/>
  <c r="DW23"/>
  <c r="DY23"/>
  <c r="EA23"/>
  <c r="EC23"/>
  <c r="EE23"/>
  <c r="EG23"/>
  <c r="EI23"/>
  <c r="EM23"/>
  <c r="EO23"/>
  <c r="EQ23"/>
  <c r="ES23"/>
  <c r="EU23"/>
  <c r="EW23"/>
  <c r="DW24"/>
  <c r="DY24"/>
  <c r="EA24"/>
  <c r="EC24"/>
  <c r="EE24"/>
  <c r="EG24"/>
  <c r="EI24"/>
  <c r="EM24"/>
  <c r="EO24"/>
  <c r="EQ24"/>
  <c r="ES24"/>
  <c r="EU24"/>
  <c r="EW24"/>
  <c r="DW25"/>
  <c r="DY25"/>
  <c r="EA25"/>
  <c r="EC25"/>
  <c r="EE25"/>
  <c r="EG25"/>
  <c r="EI25"/>
  <c r="EM25"/>
  <c r="EO25"/>
  <c r="EQ25"/>
  <c r="ES25"/>
  <c r="EU25"/>
  <c r="EW25"/>
  <c r="DW26"/>
  <c r="DY26"/>
  <c r="EA26"/>
  <c r="EC26"/>
  <c r="EE26"/>
  <c r="EG26"/>
  <c r="EI26"/>
  <c r="EM26"/>
  <c r="EO26"/>
  <c r="EQ26"/>
  <c r="ES26"/>
  <c r="EU26"/>
  <c r="EW26"/>
  <c r="DW27"/>
  <c r="DY27"/>
  <c r="EA27"/>
  <c r="EC27"/>
  <c r="EE27"/>
  <c r="EG27"/>
  <c r="EI27"/>
  <c r="EM27"/>
  <c r="EO27"/>
  <c r="EQ27"/>
  <c r="ES27"/>
  <c r="EU27"/>
  <c r="EW27"/>
  <c r="DW28"/>
  <c r="DY28"/>
  <c r="EA28"/>
  <c r="EC28"/>
  <c r="EE28"/>
  <c r="EG28"/>
  <c r="EI28"/>
  <c r="EM28"/>
  <c r="EO28"/>
  <c r="EQ28"/>
  <c r="ES28"/>
  <c r="EU28"/>
  <c r="EW28"/>
  <c r="DW29"/>
  <c r="DY29"/>
  <c r="EA29"/>
  <c r="EC29"/>
  <c r="EE29"/>
  <c r="EG29"/>
  <c r="EI29"/>
  <c r="EM29"/>
  <c r="EO29"/>
  <c r="EQ29"/>
  <c r="ES29"/>
  <c r="EU29"/>
  <c r="EW29"/>
  <c r="DW30"/>
  <c r="DY30"/>
  <c r="EA30"/>
  <c r="EC30"/>
  <c r="EE30"/>
  <c r="EG30"/>
  <c r="EI30"/>
  <c r="EM30"/>
  <c r="EO30"/>
  <c r="EQ30"/>
  <c r="ES30"/>
  <c r="DW31"/>
  <c r="DY31"/>
  <c r="EA31"/>
  <c r="EC31"/>
  <c r="EE31"/>
  <c r="EG31"/>
  <c r="EI31"/>
  <c r="EM31"/>
  <c r="EO31"/>
  <c r="EQ31"/>
  <c r="ES31"/>
  <c r="DW33"/>
  <c r="DY33"/>
  <c r="EA33"/>
  <c r="EC33"/>
  <c r="EE33"/>
  <c r="EG33"/>
  <c r="EI33"/>
  <c r="EM33"/>
  <c r="EO33"/>
  <c r="EQ33"/>
  <c r="ES33"/>
  <c r="DW35"/>
  <c r="DY35"/>
  <c r="EA35"/>
  <c r="EC35"/>
  <c r="EE35"/>
  <c r="EG35"/>
  <c r="EI35"/>
  <c r="EM35"/>
  <c r="EO35"/>
  <c r="EQ35"/>
  <c r="ES35"/>
  <c r="DW36"/>
  <c r="DY36"/>
  <c r="EA36"/>
  <c r="EC36"/>
  <c r="EE36"/>
  <c r="EG36"/>
  <c r="EI36"/>
  <c r="EM36"/>
  <c r="EO36"/>
  <c r="ES36"/>
  <c r="DW38"/>
  <c r="DY38"/>
  <c r="EA38"/>
  <c r="EC38"/>
  <c r="EE38"/>
  <c r="EG38"/>
  <c r="EI38"/>
  <c r="EM38"/>
  <c r="EO38"/>
  <c r="ES38"/>
  <c r="DW39"/>
  <c r="DY39"/>
  <c r="EA39"/>
  <c r="EC39"/>
  <c r="EE39"/>
  <c r="EG39"/>
  <c r="EI39"/>
  <c r="EM39"/>
  <c r="EO39"/>
  <c r="ES39"/>
  <c r="DW40"/>
  <c r="DY40"/>
  <c r="EA40"/>
  <c r="EC40"/>
  <c r="EE40"/>
  <c r="EG40"/>
  <c r="EI40"/>
  <c r="EM40"/>
  <c r="EO40"/>
  <c r="ES40"/>
  <c r="DW41"/>
  <c r="DY41"/>
  <c r="EA41"/>
  <c r="EC41"/>
  <c r="EE41"/>
  <c r="EG41"/>
  <c r="EI41"/>
  <c r="EM41"/>
  <c r="EO41"/>
  <c r="ES41"/>
  <c r="DW42"/>
  <c r="DY42"/>
  <c r="EA42"/>
  <c r="EC42"/>
  <c r="EE42"/>
  <c r="EG42"/>
  <c r="EI42"/>
  <c r="EM42"/>
  <c r="EO42"/>
  <c r="ES42"/>
  <c r="DW43"/>
  <c r="DY43"/>
  <c r="EA43"/>
  <c r="EC43"/>
  <c r="EE43"/>
  <c r="EG43"/>
  <c r="EI43"/>
  <c r="EM43"/>
  <c r="EO43"/>
  <c r="ES43"/>
  <c r="DW44"/>
  <c r="DY44"/>
  <c r="EA44"/>
  <c r="EC44"/>
  <c r="EE44"/>
  <c r="EG44"/>
  <c r="EI44"/>
  <c r="EM44"/>
  <c r="EO44"/>
  <c r="ES44"/>
  <c r="DW45"/>
  <c r="DY45"/>
  <c r="EA45"/>
  <c r="EC45"/>
  <c r="EE45"/>
  <c r="EG45"/>
  <c r="EI45"/>
  <c r="EM45"/>
  <c r="EO45"/>
  <c r="ES45"/>
  <c r="AF24"/>
  <c r="DW46"/>
  <c r="EA46"/>
  <c r="EC46"/>
  <c r="EE46"/>
  <c r="EG46"/>
  <c r="EI46"/>
  <c r="EM46"/>
  <c r="ES46"/>
  <c r="DW47"/>
  <c r="EA47"/>
  <c r="EC47"/>
  <c r="EE47"/>
  <c r="EG47"/>
  <c r="EI47"/>
  <c r="EM47"/>
  <c r="ES47"/>
  <c r="DW48"/>
  <c r="EA48"/>
  <c r="EC48"/>
  <c r="EE48"/>
  <c r="EG48"/>
  <c r="EI48"/>
  <c r="EM48"/>
  <c r="ES48"/>
  <c r="DW50"/>
  <c r="EA50"/>
  <c r="EC50"/>
  <c r="EE50"/>
  <c r="EG50"/>
  <c r="EI50"/>
  <c r="EM50"/>
  <c r="ES50"/>
  <c r="DW51"/>
  <c r="EA51"/>
  <c r="EC51"/>
  <c r="EE51"/>
  <c r="EG51"/>
  <c r="EI51"/>
  <c r="EM51"/>
  <c r="ES51"/>
  <c r="DW52"/>
  <c r="EA52"/>
  <c r="EC52"/>
  <c r="EE52"/>
  <c r="EG52"/>
  <c r="EI52"/>
  <c r="EM52"/>
  <c r="ES52"/>
  <c r="DW53"/>
  <c r="EA53"/>
  <c r="EC53"/>
  <c r="EE53"/>
  <c r="EG53"/>
  <c r="EI53"/>
  <c r="EM53"/>
  <c r="ES53"/>
  <c r="DW54"/>
  <c r="EA54"/>
  <c r="EC54"/>
  <c r="EE54"/>
  <c r="EG54"/>
  <c r="EI54"/>
  <c r="EM54"/>
  <c r="ES54"/>
  <c r="DW55"/>
  <c r="EA55"/>
  <c r="EC55"/>
  <c r="EE55"/>
  <c r="EG55"/>
  <c r="EI55"/>
  <c r="EM55"/>
  <c r="ES55"/>
  <c r="DW56"/>
  <c r="EA56"/>
  <c r="EC56"/>
  <c r="EE56"/>
  <c r="EG56"/>
  <c r="EI56"/>
  <c r="EM56"/>
  <c r="ES56"/>
  <c r="DW57"/>
  <c r="EA57"/>
  <c r="EC57"/>
  <c r="EE57"/>
  <c r="EG57"/>
  <c r="EI57"/>
  <c r="EM57"/>
  <c r="ES57"/>
  <c r="DW58"/>
  <c r="EA58"/>
  <c r="EC58"/>
  <c r="EE58"/>
  <c r="EG58"/>
  <c r="EI58"/>
  <c r="EM58"/>
  <c r="ES58"/>
  <c r="DW59"/>
  <c r="EA59"/>
  <c r="EC59"/>
  <c r="EE59"/>
  <c r="EG59"/>
  <c r="EI59"/>
  <c r="EM59"/>
  <c r="ES59"/>
  <c r="DW60"/>
  <c r="EA60"/>
  <c r="EC60"/>
  <c r="EE60"/>
  <c r="EG60"/>
  <c r="EI60"/>
  <c r="EM60"/>
  <c r="ES60"/>
  <c r="DW61"/>
  <c r="EA61"/>
  <c r="EC61"/>
  <c r="EE61"/>
  <c r="EG61"/>
  <c r="EI61"/>
  <c r="EM61"/>
  <c r="ES61"/>
  <c r="DW62"/>
  <c r="EA62"/>
  <c r="EC62"/>
  <c r="EE62"/>
  <c r="EG62"/>
  <c r="EI62"/>
  <c r="EM62"/>
  <c r="ES62"/>
  <c r="DW63"/>
  <c r="EC63"/>
  <c r="EE63"/>
  <c r="EG63"/>
  <c r="EI63"/>
  <c r="EM63"/>
  <c r="ES63"/>
  <c r="DW65"/>
  <c r="EC65"/>
  <c r="EE65"/>
  <c r="EG65"/>
  <c r="EI65"/>
  <c r="EM65"/>
  <c r="ES65"/>
  <c r="DW66"/>
  <c r="EC66"/>
  <c r="EE66"/>
  <c r="EG66"/>
  <c r="EI66"/>
  <c r="EM66"/>
  <c r="ES66"/>
  <c r="DW67"/>
  <c r="EC67"/>
  <c r="EE67"/>
  <c r="EG67"/>
  <c r="EI67"/>
  <c r="EM67"/>
  <c r="ES67"/>
  <c r="DW68"/>
  <c r="EC68"/>
  <c r="EE68"/>
  <c r="EG68"/>
  <c r="EI68"/>
  <c r="EM68"/>
  <c r="ES68"/>
  <c r="DW69"/>
  <c r="EC69"/>
  <c r="EE69"/>
  <c r="EG69"/>
  <c r="EI69"/>
  <c r="EM69"/>
  <c r="ES69"/>
  <c r="DW70"/>
  <c r="EC70"/>
  <c r="EE70"/>
  <c r="EG70"/>
  <c r="EI70"/>
  <c r="EM70"/>
  <c r="ES70"/>
  <c r="DW71"/>
  <c r="EC71"/>
  <c r="EE71"/>
  <c r="EG71"/>
  <c r="EI71"/>
  <c r="EM71"/>
  <c r="ES71"/>
  <c r="DW72"/>
  <c r="EC72"/>
  <c r="EE72"/>
  <c r="EG72"/>
  <c r="EI72"/>
  <c r="EM72"/>
  <c r="ES72"/>
  <c r="DW73"/>
  <c r="EC73"/>
  <c r="EE73"/>
  <c r="EG73"/>
  <c r="EI73"/>
  <c r="EM73"/>
  <c r="ES73"/>
  <c r="DW74"/>
  <c r="EC74"/>
  <c r="EE74"/>
  <c r="EG74"/>
  <c r="EI74"/>
  <c r="EM74"/>
  <c r="ES74"/>
  <c r="DW75"/>
  <c r="EC75"/>
  <c r="EE75"/>
  <c r="EG75"/>
  <c r="EI75"/>
  <c r="EM75"/>
  <c r="ES75"/>
  <c r="DW76"/>
  <c r="EC76"/>
  <c r="EE76"/>
  <c r="EG76"/>
  <c r="EI76"/>
  <c r="EM76"/>
  <c r="ES76"/>
  <c r="DW77"/>
  <c r="EC77"/>
  <c r="EE77"/>
  <c r="EG77"/>
  <c r="EI77"/>
  <c r="EM77"/>
  <c r="ES77"/>
  <c r="DW78"/>
  <c r="EC78"/>
  <c r="EE78"/>
  <c r="EG78"/>
  <c r="EI78"/>
  <c r="EM78"/>
  <c r="ES78"/>
  <c r="DW79"/>
  <c r="EC79"/>
  <c r="EG79"/>
  <c r="EI79"/>
  <c r="EM79"/>
  <c r="ES79"/>
  <c r="DW80"/>
  <c r="EC80"/>
  <c r="EG80"/>
  <c r="EI80"/>
  <c r="EM80"/>
  <c r="ES80"/>
  <c r="DW81"/>
  <c r="EC81"/>
  <c r="EG81"/>
  <c r="EI81"/>
  <c r="EM81"/>
  <c r="ES81"/>
  <c r="DW82"/>
  <c r="EC82"/>
  <c r="EG82"/>
  <c r="EI82"/>
  <c r="EM82"/>
  <c r="ES82"/>
  <c r="DW83"/>
  <c r="EC83"/>
  <c r="EG83"/>
  <c r="EI83"/>
  <c r="EM83"/>
  <c r="ES83"/>
  <c r="DW84"/>
  <c r="EC84"/>
  <c r="EG84"/>
  <c r="EI84"/>
  <c r="EM84"/>
  <c r="ES84"/>
  <c r="DW86"/>
  <c r="EC86"/>
  <c r="EG86"/>
  <c r="EI86"/>
  <c r="EM86"/>
  <c r="ES86"/>
  <c r="DW87"/>
  <c r="EC87"/>
  <c r="EG87"/>
  <c r="EI87"/>
  <c r="EM87"/>
  <c r="ES87"/>
  <c r="DW89"/>
  <c r="EC89"/>
  <c r="EG89"/>
  <c r="EI89"/>
  <c r="EM89"/>
  <c r="ES89"/>
  <c r="DW90"/>
  <c r="EC90"/>
  <c r="EG90"/>
  <c r="EI90"/>
  <c r="EM90"/>
  <c r="ES90"/>
  <c r="DW91"/>
  <c r="EC91"/>
  <c r="EG91"/>
  <c r="EI91"/>
  <c r="EM91"/>
  <c r="ES91"/>
  <c r="DW92"/>
  <c r="EC92"/>
  <c r="EG92"/>
  <c r="EI92"/>
  <c r="EM92"/>
  <c r="ES92"/>
  <c r="DW93"/>
  <c r="EC93"/>
  <c r="EG93"/>
  <c r="EI93"/>
  <c r="EM93"/>
  <c r="ES93"/>
  <c r="DW94"/>
  <c r="EC94"/>
  <c r="EG94"/>
  <c r="EI94"/>
  <c r="EM94"/>
  <c r="ES94"/>
  <c r="DW95"/>
  <c r="EC95"/>
  <c r="EG95"/>
  <c r="EM95"/>
  <c r="ES95"/>
  <c r="DW97"/>
  <c r="EC97"/>
  <c r="EG97"/>
  <c r="EM97"/>
  <c r="ES97"/>
  <c r="DW98"/>
  <c r="EC98"/>
  <c r="EG98"/>
  <c r="EM98"/>
  <c r="ES98"/>
  <c r="DW99"/>
  <c r="EC99"/>
  <c r="EG99"/>
  <c r="ES99"/>
  <c r="DW100"/>
  <c r="EC100"/>
  <c r="EG100"/>
  <c r="ES100"/>
  <c r="DW101"/>
  <c r="EC101"/>
  <c r="EG101"/>
  <c r="ES101"/>
  <c r="DW102"/>
  <c r="EC102"/>
  <c r="EG102"/>
  <c r="ES102"/>
  <c r="DW103"/>
  <c r="EC103"/>
  <c r="EG103"/>
  <c r="ES103"/>
  <c r="DW104"/>
  <c r="EC104"/>
  <c r="EG104"/>
  <c r="ES104"/>
  <c r="DW105"/>
  <c r="EC105"/>
  <c r="EG105"/>
  <c r="ES105"/>
  <c r="DW106"/>
  <c r="EC106"/>
  <c r="EG106"/>
  <c r="ES106"/>
  <c r="DW107"/>
  <c r="EC107"/>
  <c r="EG107"/>
  <c r="ES107"/>
  <c r="DW108"/>
  <c r="EC108"/>
  <c r="EG108"/>
  <c r="ES108"/>
  <c r="DW109"/>
  <c r="EC109"/>
  <c r="EG109"/>
  <c r="ES109"/>
  <c r="DW110"/>
  <c r="EC110"/>
  <c r="EG110"/>
  <c r="ES110"/>
  <c r="DW111"/>
  <c r="EC111"/>
  <c r="EG111"/>
  <c r="ES111"/>
  <c r="DW112"/>
  <c r="EC112"/>
  <c r="EG112"/>
  <c r="ES112"/>
  <c r="DW113"/>
  <c r="EC113"/>
  <c r="EG113"/>
  <c r="ES113"/>
  <c r="DW114"/>
  <c r="EC114"/>
  <c r="EG114"/>
  <c r="ES114"/>
  <c r="DW115"/>
  <c r="EC115"/>
  <c r="EG115"/>
  <c r="ES115"/>
  <c r="DW116"/>
  <c r="EC116"/>
  <c r="EG116"/>
  <c r="ES116"/>
  <c r="DW117"/>
  <c r="EC117"/>
  <c r="EG117"/>
  <c r="ES117"/>
  <c r="DW118"/>
  <c r="EC118"/>
  <c r="EG118"/>
  <c r="ES118"/>
  <c r="DW119"/>
  <c r="EC119"/>
  <c r="EG119"/>
  <c r="ES119"/>
  <c r="DW120"/>
  <c r="EC120"/>
  <c r="EG120"/>
  <c r="ES120"/>
  <c r="DW121"/>
  <c r="EC121"/>
  <c r="EG121"/>
  <c r="ES121"/>
  <c r="DW122"/>
  <c r="EC122"/>
  <c r="EG122"/>
  <c r="ES122"/>
  <c r="DW123"/>
  <c r="EC123"/>
  <c r="EG123"/>
  <c r="ES123"/>
  <c r="DW124"/>
  <c r="EC124"/>
  <c r="EG124"/>
  <c r="ES124"/>
  <c r="DW125"/>
  <c r="EC125"/>
  <c r="EG125"/>
  <c r="ER125"/>
  <c r="ES125"/>
  <c r="DP82"/>
  <c r="DU82"/>
  <c r="DO82"/>
  <c r="DT82"/>
  <c r="DN82"/>
  <c r="DS82"/>
  <c r="DM82"/>
  <c r="DR82"/>
  <c r="DL82"/>
  <c r="AI82"/>
  <c r="AH82"/>
  <c r="AG82"/>
  <c r="AF82"/>
  <c r="AE82"/>
  <c r="AD82"/>
  <c r="T82"/>
  <c r="DI112"/>
  <c r="DI113"/>
  <c r="DI111"/>
  <c r="DJ111"/>
  <c r="DJ112"/>
  <c r="DJ113"/>
  <c r="AI75"/>
  <c r="AH75"/>
  <c r="AG75"/>
  <c r="AF75"/>
  <c r="AE75"/>
  <c r="AD75"/>
  <c r="BT104"/>
  <c r="BT105"/>
  <c r="BQ105"/>
  <c r="BO105"/>
  <c r="CE105"/>
  <c r="CI105"/>
  <c r="BT100"/>
  <c r="BQ100"/>
  <c r="BO100"/>
  <c r="CE100"/>
  <c r="CI100"/>
  <c r="BT99"/>
  <c r="BQ99"/>
  <c r="BO99"/>
  <c r="CE99"/>
  <c r="CI99"/>
  <c r="BR99"/>
  <c r="CF99"/>
  <c r="CJ99"/>
  <c r="BR100"/>
  <c r="CF100"/>
  <c r="CJ100"/>
  <c r="BR101"/>
  <c r="CF101"/>
  <c r="CJ101"/>
  <c r="BI101"/>
  <c r="BR103"/>
  <c r="CF103"/>
  <c r="CJ103"/>
  <c r="BI103"/>
  <c r="BR104"/>
  <c r="CF104"/>
  <c r="CJ104"/>
  <c r="BI104"/>
  <c r="BR105"/>
  <c r="CF105"/>
  <c r="CJ105"/>
  <c r="BR106"/>
  <c r="BO106"/>
  <c r="CF106"/>
  <c r="CJ106"/>
  <c r="BR107"/>
  <c r="BO107"/>
  <c r="CF107"/>
  <c r="CJ107"/>
  <c r="BR108"/>
  <c r="BO108"/>
  <c r="CF108"/>
  <c r="CJ108"/>
  <c r="AM106"/>
  <c r="AM107"/>
  <c r="AM108"/>
  <c r="AO110"/>
  <c r="AO109"/>
  <c r="BI100"/>
  <c r="DP76"/>
  <c r="DU76"/>
  <c r="DO76"/>
  <c r="DT76"/>
  <c r="DN76"/>
  <c r="DS76"/>
  <c r="DM76"/>
  <c r="DR76"/>
  <c r="DL76"/>
  <c r="AI76"/>
  <c r="AH76"/>
  <c r="AG76"/>
  <c r="AF76"/>
  <c r="AE76"/>
  <c r="AD76"/>
  <c r="T76"/>
  <c r="DD107"/>
  <c r="CZ107"/>
  <c r="DA107"/>
  <c r="DD108"/>
  <c r="CZ108"/>
  <c r="DA108"/>
  <c r="DD106"/>
  <c r="CZ106"/>
  <c r="DA106"/>
  <c r="BQ107"/>
  <c r="CE107"/>
  <c r="CI107"/>
  <c r="BI107"/>
  <c r="BT107"/>
  <c r="BT108"/>
  <c r="BQ108"/>
  <c r="CE108"/>
  <c r="CI108"/>
  <c r="BQ106"/>
  <c r="CE106"/>
  <c r="CI106"/>
  <c r="BT106"/>
  <c r="BI108"/>
  <c r="BI105"/>
  <c r="BI106"/>
  <c r="BS107"/>
  <c r="CG107"/>
  <c r="CK107"/>
  <c r="BE107"/>
  <c r="BG107"/>
  <c r="BK107"/>
  <c r="BL107"/>
  <c r="CM107"/>
  <c r="CN107"/>
  <c r="CO107"/>
  <c r="CP107"/>
  <c r="CQ107"/>
  <c r="CR107"/>
  <c r="CS107"/>
  <c r="CT107"/>
  <c r="CU107"/>
  <c r="CV107"/>
  <c r="CW107"/>
  <c r="DE107"/>
  <c r="DF107"/>
  <c r="DG107"/>
  <c r="DH107"/>
  <c r="DI107"/>
  <c r="DJ107"/>
  <c r="BS108"/>
  <c r="CG108"/>
  <c r="CK108"/>
  <c r="BE108"/>
  <c r="BG108"/>
  <c r="BK108"/>
  <c r="BL108"/>
  <c r="CM108"/>
  <c r="CN108"/>
  <c r="CO108"/>
  <c r="CP108"/>
  <c r="CQ108"/>
  <c r="CR108"/>
  <c r="CS108"/>
  <c r="CT108"/>
  <c r="CU108"/>
  <c r="CV108"/>
  <c r="CW108"/>
  <c r="DE108"/>
  <c r="DF108"/>
  <c r="DG108"/>
  <c r="DH108"/>
  <c r="DI108"/>
  <c r="DJ108"/>
  <c r="CN106"/>
  <c r="BI99"/>
  <c r="BS106"/>
  <c r="CG106"/>
  <c r="CK106"/>
  <c r="BE106"/>
  <c r="BG106"/>
  <c r="BK106"/>
  <c r="BL106"/>
  <c r="CM106"/>
  <c r="CO106"/>
  <c r="CP106"/>
  <c r="CQ106"/>
  <c r="CR106"/>
  <c r="CS106"/>
  <c r="CT106"/>
  <c r="CU106"/>
  <c r="CV106"/>
  <c r="CW106"/>
  <c r="DE106"/>
  <c r="DF106"/>
  <c r="DG106"/>
  <c r="DH106"/>
  <c r="DI106"/>
  <c r="DJ106"/>
  <c r="BS105"/>
  <c r="CG105"/>
  <c r="CK105"/>
  <c r="BE105"/>
  <c r="BG105"/>
  <c r="BK105"/>
  <c r="BL105"/>
  <c r="CM105"/>
  <c r="CO105"/>
  <c r="CP105"/>
  <c r="CQ105"/>
  <c r="CR105"/>
  <c r="CS105"/>
  <c r="CT105"/>
  <c r="CU105"/>
  <c r="CV105"/>
  <c r="CW105"/>
  <c r="DE105"/>
  <c r="DF105"/>
  <c r="DG105"/>
  <c r="DH105"/>
  <c r="DI105"/>
  <c r="DJ105"/>
  <c r="BC26"/>
  <c r="BI26"/>
  <c r="BH26"/>
  <c r="BG26"/>
  <c r="BF26"/>
  <c r="BE26"/>
  <c r="BM21"/>
  <c r="EW19"/>
  <c r="EU19"/>
  <c r="ES19"/>
  <c r="EQ19"/>
  <c r="EO19"/>
  <c r="EM19"/>
  <c r="EI19"/>
  <c r="EG19"/>
  <c r="EE19"/>
  <c r="EC19"/>
  <c r="EA19"/>
  <c r="DY19"/>
  <c r="DW19"/>
  <c r="AI23"/>
  <c r="AH23"/>
  <c r="AG23"/>
  <c r="AF23"/>
  <c r="AE23"/>
  <c r="AD23"/>
  <c r="BM22"/>
  <c r="BF17"/>
  <c r="DL17"/>
  <c r="DM17"/>
  <c r="DN17"/>
  <c r="DO17"/>
  <c r="DP17"/>
  <c r="D171"/>
  <c r="AE137"/>
  <c r="AD137"/>
  <c r="AI137"/>
  <c r="AH137"/>
  <c r="AE141"/>
  <c r="AE143"/>
  <c r="J127"/>
  <c r="AG127"/>
  <c r="AG131"/>
  <c r="AG135"/>
  <c r="AG136"/>
  <c r="AG138"/>
  <c r="AG141"/>
  <c r="AG143"/>
  <c r="AH9"/>
  <c r="AH10"/>
  <c r="AH11"/>
  <c r="AH12"/>
  <c r="AH8"/>
  <c r="BG103"/>
  <c r="BK103"/>
  <c r="BS104"/>
  <c r="CG104"/>
  <c r="CK104"/>
  <c r="BG104"/>
  <c r="BK104"/>
  <c r="AE109"/>
  <c r="AD109"/>
  <c r="AG109"/>
  <c r="AF109"/>
  <c r="AI109"/>
  <c r="AH109"/>
  <c r="AE98"/>
  <c r="AD98"/>
  <c r="AG98"/>
  <c r="AF98"/>
  <c r="AI98"/>
  <c r="AH98"/>
  <c r="AI20"/>
  <c r="AH20"/>
  <c r="AI28"/>
  <c r="AH28"/>
  <c r="AI36"/>
  <c r="AH36"/>
  <c r="AI38"/>
  <c r="AH38"/>
  <c r="AI43"/>
  <c r="AH43"/>
  <c r="AI61"/>
  <c r="AH61"/>
  <c r="L66"/>
  <c r="AI66"/>
  <c r="AH66"/>
  <c r="AI67"/>
  <c r="AH67"/>
  <c r="AI71"/>
  <c r="AH71"/>
  <c r="AI72"/>
  <c r="AH72"/>
  <c r="AI73"/>
  <c r="AH73"/>
  <c r="AI74"/>
  <c r="AH74"/>
  <c r="AI77"/>
  <c r="AH77"/>
  <c r="AI78"/>
  <c r="AH78"/>
  <c r="AI89"/>
  <c r="AH89"/>
  <c r="AI90"/>
  <c r="AH90"/>
  <c r="AI91"/>
  <c r="AH91"/>
  <c r="AI93"/>
  <c r="AH93"/>
  <c r="AI95"/>
  <c r="AH95"/>
  <c r="AI113"/>
  <c r="AH113"/>
  <c r="AI115"/>
  <c r="AH115"/>
  <c r="AI120"/>
  <c r="AH120"/>
  <c r="AI121"/>
  <c r="AH121"/>
  <c r="AI122"/>
  <c r="AH122"/>
  <c r="AI123"/>
  <c r="AH123"/>
  <c r="AI127"/>
  <c r="AH127"/>
  <c r="AI132"/>
  <c r="AH132"/>
  <c r="AI133"/>
  <c r="AH133"/>
  <c r="AI135"/>
  <c r="AH135"/>
  <c r="AI136"/>
  <c r="AH136"/>
  <c r="AI139"/>
  <c r="AH139"/>
  <c r="AI141"/>
  <c r="AH141"/>
  <c r="AI143"/>
  <c r="AH143"/>
  <c r="BE103"/>
  <c r="BE104"/>
  <c r="DL92"/>
  <c r="DM92"/>
  <c r="DR92"/>
  <c r="DN92"/>
  <c r="DS92"/>
  <c r="DO92"/>
  <c r="DT92"/>
  <c r="DP92"/>
  <c r="DU92"/>
  <c r="AE78"/>
  <c r="AD78"/>
  <c r="AG78"/>
  <c r="AF78"/>
  <c r="AE72"/>
  <c r="AD72"/>
  <c r="AG72"/>
  <c r="AF72"/>
  <c r="AG67"/>
  <c r="AF67"/>
  <c r="AG61"/>
  <c r="AF61"/>
  <c r="AE20"/>
  <c r="AD20"/>
  <c r="AG20"/>
  <c r="AF20"/>
  <c r="AE73"/>
  <c r="AD73"/>
  <c r="AG73"/>
  <c r="AF73"/>
  <c r="AE74"/>
  <c r="AD74"/>
  <c r="AG74"/>
  <c r="AF74"/>
  <c r="AE77"/>
  <c r="AD77"/>
  <c r="AG77"/>
  <c r="AF77"/>
  <c r="AG89"/>
  <c r="AF89"/>
  <c r="AE89"/>
  <c r="AD89"/>
  <c r="AG90"/>
  <c r="AF90"/>
  <c r="AE90"/>
  <c r="AD90"/>
  <c r="AE91"/>
  <c r="AD91"/>
  <c r="AG91"/>
  <c r="AF91"/>
  <c r="AE93"/>
  <c r="AD93"/>
  <c r="AG93"/>
  <c r="AF93"/>
  <c r="AE95"/>
  <c r="AD95"/>
  <c r="AE113"/>
  <c r="AD113"/>
  <c r="AG113"/>
  <c r="AF113"/>
  <c r="AE115"/>
  <c r="AD115"/>
  <c r="AG115"/>
  <c r="AF115"/>
  <c r="AE120"/>
  <c r="AD120"/>
  <c r="AG120"/>
  <c r="AF120"/>
  <c r="AE121"/>
  <c r="AD121"/>
  <c r="AG121"/>
  <c r="AF121"/>
  <c r="AE122"/>
  <c r="AD122"/>
  <c r="AG122"/>
  <c r="AF122"/>
  <c r="AE123"/>
  <c r="AD123"/>
  <c r="AG123"/>
  <c r="AF123"/>
  <c r="AF127"/>
  <c r="AF131"/>
  <c r="AF135"/>
  <c r="AF136"/>
  <c r="AF138"/>
  <c r="AD141"/>
  <c r="AF141"/>
  <c r="AD143"/>
  <c r="AF143"/>
  <c r="AE14"/>
  <c r="AD14"/>
  <c r="AE15"/>
  <c r="AD15"/>
  <c r="AE16"/>
  <c r="AD16"/>
  <c r="AE28"/>
  <c r="AD28"/>
  <c r="AG28"/>
  <c r="AF28"/>
  <c r="AE29"/>
  <c r="AD29"/>
  <c r="AG29"/>
  <c r="AF29"/>
  <c r="AE36"/>
  <c r="AD36"/>
  <c r="AE38"/>
  <c r="AD38"/>
  <c r="AE43"/>
  <c r="AD43"/>
  <c r="AG43"/>
  <c r="AF43"/>
  <c r="AE45"/>
  <c r="AD45"/>
  <c r="AG45"/>
  <c r="AF45"/>
  <c r="AE13"/>
  <c r="AD13"/>
  <c r="AG8"/>
  <c r="AF8"/>
  <c r="AG5"/>
  <c r="AF5"/>
  <c r="AD2"/>
  <c r="AE4"/>
  <c r="AD4"/>
  <c r="AE5"/>
  <c r="AD5"/>
  <c r="C3"/>
  <c r="AI1"/>
  <c r="AH1"/>
  <c r="AM3"/>
  <c r="AM4"/>
  <c r="AM5"/>
  <c r="AM6"/>
  <c r="AM7"/>
  <c r="AM8"/>
  <c r="AM9"/>
  <c r="AA144"/>
  <c r="C163"/>
  <c r="B17"/>
  <c r="BE17"/>
  <c r="BG17"/>
  <c r="BH17"/>
  <c r="BI17"/>
  <c r="AV43"/>
  <c r="DP43"/>
  <c r="DU43"/>
  <c r="DO43"/>
  <c r="DT43"/>
  <c r="DN43"/>
  <c r="DS43"/>
  <c r="DM43"/>
  <c r="DR43"/>
  <c r="DL43"/>
  <c r="T43"/>
  <c r="B43"/>
  <c r="BB43"/>
  <c r="BA43"/>
  <c r="AZ43"/>
  <c r="AX43"/>
  <c r="AW43"/>
  <c r="AU43"/>
  <c r="DL112"/>
  <c r="DM112"/>
  <c r="DR112"/>
  <c r="DN112"/>
  <c r="DS112"/>
  <c r="DO112"/>
  <c r="DT112"/>
  <c r="DP112"/>
  <c r="DU112"/>
  <c r="T112"/>
  <c r="DL113"/>
  <c r="DM113"/>
  <c r="DR113"/>
  <c r="DN113"/>
  <c r="DS113"/>
  <c r="DO113"/>
  <c r="DT113"/>
  <c r="DP113"/>
  <c r="DU113"/>
  <c r="T113"/>
  <c r="DL111"/>
  <c r="DM111"/>
  <c r="DR111"/>
  <c r="DN111"/>
  <c r="DS111"/>
  <c r="DO111"/>
  <c r="DT111"/>
  <c r="DP111"/>
  <c r="DU111"/>
  <c r="T111"/>
  <c r="DR17"/>
  <c r="DS17"/>
  <c r="DT17"/>
  <c r="DU17"/>
  <c r="DL53"/>
  <c r="DM53"/>
  <c r="DR53"/>
  <c r="DN53"/>
  <c r="DS53"/>
  <c r="DO53"/>
  <c r="DT53"/>
  <c r="DP53"/>
  <c r="DU53"/>
  <c r="DL56"/>
  <c r="DM56"/>
  <c r="DR56"/>
  <c r="DN56"/>
  <c r="DS56"/>
  <c r="DO56"/>
  <c r="DT56"/>
  <c r="DP56"/>
  <c r="DU56"/>
  <c r="DL57"/>
  <c r="DM57"/>
  <c r="DR57"/>
  <c r="DN57"/>
  <c r="DS57"/>
  <c r="DO57"/>
  <c r="DT57"/>
  <c r="DP57"/>
  <c r="DU57"/>
  <c r="DL58"/>
  <c r="DM58"/>
  <c r="DR58"/>
  <c r="DN58"/>
  <c r="DS58"/>
  <c r="DO58"/>
  <c r="DT58"/>
  <c r="DP58"/>
  <c r="DU58"/>
  <c r="DL59"/>
  <c r="DM59"/>
  <c r="DR59"/>
  <c r="DN59"/>
  <c r="DS59"/>
  <c r="DO59"/>
  <c r="DT59"/>
  <c r="DP59"/>
  <c r="DU59"/>
  <c r="DP93"/>
  <c r="DU93"/>
  <c r="DO93"/>
  <c r="DT93"/>
  <c r="DN93"/>
  <c r="DS93"/>
  <c r="DM93"/>
  <c r="DR93"/>
  <c r="DL93"/>
  <c r="DP90"/>
  <c r="DU90"/>
  <c r="DO90"/>
  <c r="DT90"/>
  <c r="DN90"/>
  <c r="DS90"/>
  <c r="DM90"/>
  <c r="DR90"/>
  <c r="DL90"/>
  <c r="DP89"/>
  <c r="DU89"/>
  <c r="DO89"/>
  <c r="DT89"/>
  <c r="DN89"/>
  <c r="DS89"/>
  <c r="DM89"/>
  <c r="DR89"/>
  <c r="DL89"/>
  <c r="T87"/>
  <c r="T89"/>
  <c r="T90"/>
  <c r="T91"/>
  <c r="T93"/>
  <c r="T94"/>
  <c r="DL86"/>
  <c r="DM86"/>
  <c r="DR86"/>
  <c r="DN86"/>
  <c r="DS86"/>
  <c r="DO86"/>
  <c r="DT86"/>
  <c r="DP86"/>
  <c r="DU86"/>
  <c r="DL84"/>
  <c r="DM84"/>
  <c r="DR84"/>
  <c r="DN84"/>
  <c r="DS84"/>
  <c r="DO84"/>
  <c r="DT84"/>
  <c r="DP84"/>
  <c r="DU84"/>
  <c r="DL83"/>
  <c r="DM83"/>
  <c r="DR83"/>
  <c r="DN83"/>
  <c r="DS83"/>
  <c r="DO83"/>
  <c r="DT83"/>
  <c r="DP83"/>
  <c r="DU83"/>
  <c r="DL81"/>
  <c r="DM81"/>
  <c r="DR81"/>
  <c r="DN81"/>
  <c r="DS81"/>
  <c r="DO81"/>
  <c r="DT81"/>
  <c r="DP81"/>
  <c r="DU81"/>
  <c r="DL80"/>
  <c r="DM80"/>
  <c r="DR80"/>
  <c r="DN80"/>
  <c r="DS80"/>
  <c r="DO80"/>
  <c r="DT80"/>
  <c r="DP80"/>
  <c r="DU80"/>
  <c r="DL79"/>
  <c r="DM79"/>
  <c r="DR79"/>
  <c r="DN79"/>
  <c r="DS79"/>
  <c r="DO79"/>
  <c r="DT79"/>
  <c r="DP79"/>
  <c r="DU79"/>
  <c r="DL77"/>
  <c r="DM77"/>
  <c r="DR77"/>
  <c r="DN77"/>
  <c r="DS77"/>
  <c r="DO77"/>
  <c r="DT77"/>
  <c r="DP77"/>
  <c r="DU77"/>
  <c r="EW20"/>
  <c r="EW18"/>
  <c r="EW17"/>
  <c r="EW16"/>
  <c r="EW15"/>
  <c r="EW14"/>
  <c r="EW13"/>
  <c r="EW12"/>
  <c r="EW11"/>
  <c r="EW10"/>
  <c r="EW9"/>
  <c r="EW8"/>
  <c r="EW7"/>
  <c r="EW6"/>
  <c r="EW5"/>
  <c r="EU20"/>
  <c r="EU18"/>
  <c r="EU17"/>
  <c r="EU16"/>
  <c r="EU15"/>
  <c r="EU14"/>
  <c r="EU13"/>
  <c r="EU12"/>
  <c r="EU11"/>
  <c r="EU10"/>
  <c r="EU9"/>
  <c r="EU8"/>
  <c r="EU7"/>
  <c r="EU6"/>
  <c r="EU5"/>
  <c r="ES20"/>
  <c r="ES18"/>
  <c r="ES17"/>
  <c r="ES16"/>
  <c r="ES15"/>
  <c r="ES14"/>
  <c r="ES13"/>
  <c r="ES12"/>
  <c r="ES11"/>
  <c r="ES10"/>
  <c r="ES9"/>
  <c r="ES8"/>
  <c r="ES7"/>
  <c r="ES6"/>
  <c r="ES5"/>
  <c r="EQ20"/>
  <c r="EQ18"/>
  <c r="EQ17"/>
  <c r="EQ16"/>
  <c r="EQ15"/>
  <c r="EQ14"/>
  <c r="EQ13"/>
  <c r="EQ12"/>
  <c r="EQ11"/>
  <c r="EQ10"/>
  <c r="EQ9"/>
  <c r="EQ8"/>
  <c r="EQ7"/>
  <c r="EQ6"/>
  <c r="EQ5"/>
  <c r="EO20"/>
  <c r="EO18"/>
  <c r="EO17"/>
  <c r="EO16"/>
  <c r="EO15"/>
  <c r="EO14"/>
  <c r="EO13"/>
  <c r="EO12"/>
  <c r="EO11"/>
  <c r="EO10"/>
  <c r="EO9"/>
  <c r="EO8"/>
  <c r="EO7"/>
  <c r="EO6"/>
  <c r="EO5"/>
  <c r="EM20"/>
  <c r="EM18"/>
  <c r="EM17"/>
  <c r="EM16"/>
  <c r="EM15"/>
  <c r="EM14"/>
  <c r="EM13"/>
  <c r="EM12"/>
  <c r="EM11"/>
  <c r="EM10"/>
  <c r="EM9"/>
  <c r="EM8"/>
  <c r="EM7"/>
  <c r="EM6"/>
  <c r="EM5"/>
  <c r="EK12"/>
  <c r="EK11"/>
  <c r="EK10"/>
  <c r="EK9"/>
  <c r="EK8"/>
  <c r="EK7"/>
  <c r="EK6"/>
  <c r="EK5"/>
  <c r="EI20"/>
  <c r="EI18"/>
  <c r="EI17"/>
  <c r="EI16"/>
  <c r="EI15"/>
  <c r="EI14"/>
  <c r="EI13"/>
  <c r="EI12"/>
  <c r="EI11"/>
  <c r="EI10"/>
  <c r="EI9"/>
  <c r="EI8"/>
  <c r="EI7"/>
  <c r="EI6"/>
  <c r="EI5"/>
  <c r="EG20"/>
  <c r="EG18"/>
  <c r="EG17"/>
  <c r="EG16"/>
  <c r="EG15"/>
  <c r="EG14"/>
  <c r="EG13"/>
  <c r="EG12"/>
  <c r="EG11"/>
  <c r="EG10"/>
  <c r="EG9"/>
  <c r="EG8"/>
  <c r="EG7"/>
  <c r="EG6"/>
  <c r="EG5"/>
  <c r="EE20"/>
  <c r="EE18"/>
  <c r="EE17"/>
  <c r="EE16"/>
  <c r="EE15"/>
  <c r="EE14"/>
  <c r="EE13"/>
  <c r="EE12"/>
  <c r="EE11"/>
  <c r="EE10"/>
  <c r="EE9"/>
  <c r="EE8"/>
  <c r="EE7"/>
  <c r="EE6"/>
  <c r="EE5"/>
  <c r="EC20"/>
  <c r="EC18"/>
  <c r="EC17"/>
  <c r="EC16"/>
  <c r="EC15"/>
  <c r="EC14"/>
  <c r="EC13"/>
  <c r="EC12"/>
  <c r="EC11"/>
  <c r="EC10"/>
  <c r="EC9"/>
  <c r="EC8"/>
  <c r="EC7"/>
  <c r="EC6"/>
  <c r="EC5"/>
  <c r="EA20"/>
  <c r="EA18"/>
  <c r="EA17"/>
  <c r="EA16"/>
  <c r="EA15"/>
  <c r="EA14"/>
  <c r="EA13"/>
  <c r="EA12"/>
  <c r="EA11"/>
  <c r="EA10"/>
  <c r="EA9"/>
  <c r="EA8"/>
  <c r="EA7"/>
  <c r="EA6"/>
  <c r="EA5"/>
  <c r="DY20"/>
  <c r="DY18"/>
  <c r="DY17"/>
  <c r="DY16"/>
  <c r="DY15"/>
  <c r="DY14"/>
  <c r="DY13"/>
  <c r="DY12"/>
  <c r="DY11"/>
  <c r="DY10"/>
  <c r="DY9"/>
  <c r="DY8"/>
  <c r="DY7"/>
  <c r="DY6"/>
  <c r="DY5"/>
  <c r="DW6"/>
  <c r="DW7"/>
  <c r="DW8"/>
  <c r="DW9"/>
  <c r="DW10"/>
  <c r="DW11"/>
  <c r="DW12"/>
  <c r="DW13"/>
  <c r="DW14"/>
  <c r="DW15"/>
  <c r="DW16"/>
  <c r="DW17"/>
  <c r="DW18"/>
  <c r="DW5"/>
  <c r="EH2"/>
  <c r="AM181"/>
  <c r="ED2"/>
  <c r="AM182"/>
  <c r="BG176"/>
  <c r="AU176"/>
  <c r="AV176"/>
  <c r="AW176"/>
  <c r="AX176"/>
  <c r="AY176"/>
  <c r="AZ176"/>
  <c r="BA176"/>
  <c r="BB176"/>
  <c r="BC176"/>
  <c r="BD176"/>
  <c r="BE176"/>
  <c r="BF176"/>
  <c r="BH176"/>
  <c r="C43"/>
  <c r="DE112"/>
  <c r="DF112"/>
  <c r="DG112"/>
  <c r="DH112"/>
  <c r="DE113"/>
  <c r="DF113"/>
  <c r="DG113"/>
  <c r="DH113"/>
  <c r="DH111"/>
  <c r="DG111"/>
  <c r="DF111"/>
  <c r="DE100"/>
  <c r="DF100"/>
  <c r="DG100"/>
  <c r="DH100"/>
  <c r="DI100"/>
  <c r="DJ100"/>
  <c r="DE101"/>
  <c r="DF101"/>
  <c r="DG101"/>
  <c r="DH101"/>
  <c r="DI101"/>
  <c r="DJ101"/>
  <c r="DE102"/>
  <c r="DF102"/>
  <c r="DH102"/>
  <c r="DI102"/>
  <c r="DJ102"/>
  <c r="DE103"/>
  <c r="DF103"/>
  <c r="DG103"/>
  <c r="DH103"/>
  <c r="DI103"/>
  <c r="DJ103"/>
  <c r="DE104"/>
  <c r="DF104"/>
  <c r="DG104"/>
  <c r="DH104"/>
  <c r="DI104"/>
  <c r="DJ104"/>
  <c r="DJ99"/>
  <c r="DI99"/>
  <c r="DH99"/>
  <c r="DG99"/>
  <c r="DF99"/>
  <c r="DE99"/>
  <c r="BX112"/>
  <c r="BX113"/>
  <c r="BX111"/>
  <c r="BG100"/>
  <c r="CM100"/>
  <c r="CM101"/>
  <c r="BG102"/>
  <c r="CM102"/>
  <c r="CM103"/>
  <c r="CM104"/>
  <c r="BG99"/>
  <c r="CM99"/>
  <c r="BL100"/>
  <c r="CO100"/>
  <c r="CP100"/>
  <c r="CQ100"/>
  <c r="CR100"/>
  <c r="CS100"/>
  <c r="CT100"/>
  <c r="CU100"/>
  <c r="CV100"/>
  <c r="CW100"/>
  <c r="BL101"/>
  <c r="CO101"/>
  <c r="CP101"/>
  <c r="CQ101"/>
  <c r="CR101"/>
  <c r="CS101"/>
  <c r="CT101"/>
  <c r="CU101"/>
  <c r="CV101"/>
  <c r="CW101"/>
  <c r="BL102"/>
  <c r="CO102"/>
  <c r="CP102"/>
  <c r="CQ102"/>
  <c r="CR102"/>
  <c r="CS102"/>
  <c r="CT102"/>
  <c r="CU102"/>
  <c r="CV102"/>
  <c r="CW102"/>
  <c r="BL103"/>
  <c r="CO103"/>
  <c r="CP103"/>
  <c r="CQ103"/>
  <c r="CR103"/>
  <c r="CS103"/>
  <c r="CT103"/>
  <c r="CU103"/>
  <c r="CV103"/>
  <c r="CW103"/>
  <c r="BL104"/>
  <c r="CO104"/>
  <c r="CP104"/>
  <c r="CQ104"/>
  <c r="CR104"/>
  <c r="CS104"/>
  <c r="CT104"/>
  <c r="CU104"/>
  <c r="CV104"/>
  <c r="CW104"/>
  <c r="BL99"/>
  <c r="CP99"/>
  <c r="CQ99"/>
  <c r="CR99"/>
  <c r="CS99"/>
  <c r="CT99"/>
  <c r="CU99"/>
  <c r="CV99"/>
  <c r="CW99"/>
  <c r="CO99"/>
  <c r="BE112"/>
  <c r="BE111"/>
  <c r="BS100"/>
  <c r="CG100"/>
  <c r="CK100"/>
  <c r="BK100"/>
  <c r="BE100"/>
  <c r="BE101"/>
  <c r="BK99"/>
  <c r="BS99"/>
  <c r="CG99"/>
  <c r="CK99"/>
  <c r="BJ58"/>
  <c r="BJ59"/>
  <c r="BJ53"/>
  <c r="BJ56"/>
  <c r="BJ57"/>
  <c r="CJ110"/>
  <c r="CI110"/>
  <c r="CF110"/>
  <c r="CE110"/>
  <c r="CJ98"/>
  <c r="CI98"/>
  <c r="CF98"/>
  <c r="CE98"/>
  <c r="BU59"/>
  <c r="CI51"/>
  <c r="CH51"/>
  <c r="CD51"/>
  <c r="CC51"/>
  <c r="AS13"/>
  <c r="AS16"/>
  <c r="AR16"/>
  <c r="B112"/>
  <c r="BL112"/>
  <c r="AU112"/>
  <c r="AX112"/>
  <c r="B113"/>
  <c r="BL113"/>
  <c r="AU113"/>
  <c r="AX113"/>
  <c r="BE113"/>
  <c r="BL111"/>
  <c r="AX111"/>
  <c r="AU111"/>
  <c r="B111"/>
  <c r="BK102"/>
  <c r="BE102"/>
  <c r="BE99"/>
  <c r="AU53"/>
  <c r="AX53"/>
  <c r="AZ53"/>
  <c r="BA53"/>
  <c r="AU56"/>
  <c r="AX56"/>
  <c r="AZ56"/>
  <c r="BA56"/>
  <c r="AU57"/>
  <c r="AX57"/>
  <c r="AZ57"/>
  <c r="BA57"/>
  <c r="AU58"/>
  <c r="AX58"/>
  <c r="AZ58"/>
  <c r="BA58"/>
  <c r="AU59"/>
  <c r="AX59"/>
  <c r="AZ59"/>
  <c r="BA59"/>
  <c r="BT53"/>
  <c r="BV53"/>
  <c r="BT56"/>
  <c r="BU56"/>
  <c r="BV56"/>
  <c r="BT57"/>
  <c r="BV57"/>
  <c r="BT58"/>
  <c r="BV58"/>
  <c r="BW58"/>
  <c r="BT59"/>
  <c r="BV59"/>
  <c r="BF53"/>
  <c r="BG53"/>
  <c r="BF56"/>
  <c r="BG56"/>
  <c r="BF57"/>
  <c r="BG57"/>
  <c r="BF58"/>
  <c r="BG58"/>
  <c r="BF59"/>
  <c r="BG59"/>
  <c r="B53"/>
  <c r="B56"/>
  <c r="B57"/>
  <c r="B58"/>
  <c r="B59"/>
  <c r="I93"/>
  <c r="T83"/>
  <c r="T77"/>
  <c r="BI18"/>
  <c r="BF18"/>
  <c r="B18"/>
  <c r="BE18"/>
  <c r="BG18"/>
  <c r="BH18"/>
  <c r="DM18"/>
  <c r="DR18"/>
  <c r="DN18"/>
  <c r="DS18"/>
  <c r="DO18"/>
  <c r="DT18"/>
  <c r="DP18"/>
  <c r="DU18"/>
  <c r="DL18"/>
  <c r="ET2"/>
  <c r="AM188"/>
  <c r="EO46"/>
  <c r="EO47"/>
  <c r="EO48"/>
  <c r="EO50"/>
  <c r="EO51"/>
  <c r="EO52"/>
  <c r="EO53"/>
  <c r="EO54"/>
  <c r="EO55"/>
  <c r="EO56"/>
  <c r="EO57"/>
  <c r="EO58"/>
  <c r="EO59"/>
  <c r="EO60"/>
  <c r="EO61"/>
  <c r="EO62"/>
  <c r="EO63"/>
  <c r="EO65"/>
  <c r="EO66"/>
  <c r="EO67"/>
  <c r="EO68"/>
  <c r="EO69"/>
  <c r="EO70"/>
  <c r="EO71"/>
  <c r="EO72"/>
  <c r="EO73"/>
  <c r="EO74"/>
  <c r="EO75"/>
  <c r="EO76"/>
  <c r="EO77"/>
  <c r="EO78"/>
  <c r="EO79"/>
  <c r="EO80"/>
  <c r="EO81"/>
  <c r="EO82"/>
  <c r="EO83"/>
  <c r="EO84"/>
  <c r="EO86"/>
  <c r="EO87"/>
  <c r="EO89"/>
  <c r="EO90"/>
  <c r="EO91"/>
  <c r="EO92"/>
  <c r="EO93"/>
  <c r="EO94"/>
  <c r="EO95"/>
  <c r="EO97"/>
  <c r="EO98"/>
  <c r="EO99"/>
  <c r="EO100"/>
  <c r="EO101"/>
  <c r="EO102"/>
  <c r="EO103"/>
  <c r="EO104"/>
  <c r="EO105"/>
  <c r="EO106"/>
  <c r="EO107"/>
  <c r="EO108"/>
  <c r="EO109"/>
  <c r="EO110"/>
  <c r="EO111"/>
  <c r="EO112"/>
  <c r="EO113"/>
  <c r="EO114"/>
  <c r="EO115"/>
  <c r="AF26"/>
  <c r="O102"/>
  <c r="DM102"/>
  <c r="DR102"/>
  <c r="DN102"/>
  <c r="DS102"/>
  <c r="DO102"/>
  <c r="DT102"/>
  <c r="DP102"/>
  <c r="DU102"/>
  <c r="DL102"/>
  <c r="T102"/>
  <c r="BY102"/>
  <c r="BX102"/>
  <c r="BZ102"/>
  <c r="B102"/>
  <c r="AU102"/>
  <c r="AX102"/>
  <c r="EM125"/>
  <c r="EM99"/>
  <c r="EM100"/>
  <c r="EM101"/>
  <c r="EM102"/>
  <c r="EM103"/>
  <c r="EM104"/>
  <c r="EM105"/>
  <c r="EM106"/>
  <c r="EM107"/>
  <c r="EM108"/>
  <c r="EM109"/>
  <c r="EM110"/>
  <c r="EM111"/>
  <c r="EM112"/>
  <c r="EM113"/>
  <c r="EM114"/>
  <c r="EM115"/>
  <c r="EM116"/>
  <c r="EM117"/>
  <c r="EM118"/>
  <c r="EM119"/>
  <c r="EM120"/>
  <c r="EM121"/>
  <c r="EM122"/>
  <c r="EM123"/>
  <c r="EM124"/>
  <c r="BN47"/>
  <c r="EZ29"/>
  <c r="FF29"/>
  <c r="AR45"/>
  <c r="C18"/>
  <c r="AH24"/>
  <c r="AH25"/>
  <c r="AH26"/>
  <c r="AH27"/>
  <c r="DQ57"/>
  <c r="DQ64"/>
  <c r="DQ83"/>
  <c r="BM53"/>
  <c r="K53"/>
  <c r="BN53"/>
  <c r="L53"/>
  <c r="AO53"/>
  <c r="BM56"/>
  <c r="K56"/>
  <c r="BN56"/>
  <c r="L56"/>
  <c r="AO56"/>
  <c r="BM57"/>
  <c r="K57"/>
  <c r="BN57"/>
  <c r="L57"/>
  <c r="AO57"/>
  <c r="BM58"/>
  <c r="K58"/>
  <c r="BN58"/>
  <c r="L58"/>
  <c r="AO58"/>
  <c r="BM59"/>
  <c r="K59"/>
  <c r="BN59"/>
  <c r="L59"/>
  <c r="AO59"/>
  <c r="BO58"/>
  <c r="AR58"/>
  <c r="BO59"/>
  <c r="AR59"/>
  <c r="DQ49"/>
  <c r="DQ77"/>
  <c r="DQ17"/>
  <c r="DQ82"/>
  <c r="BH21"/>
  <c r="D21"/>
  <c r="E21"/>
  <c r="BK21"/>
  <c r="A21"/>
  <c r="AY21"/>
  <c r="BH22"/>
  <c r="D22"/>
  <c r="E22"/>
  <c r="BK22"/>
  <c r="A22"/>
  <c r="AY22"/>
  <c r="G22"/>
  <c r="J22"/>
  <c r="P22"/>
  <c r="G21"/>
  <c r="J21"/>
  <c r="P21"/>
  <c r="G24"/>
  <c r="R24"/>
  <c r="AM24"/>
  <c r="DQ79"/>
  <c r="DQ84"/>
  <c r="DQ90"/>
  <c r="DQ89"/>
  <c r="DQ56"/>
  <c r="BO53"/>
  <c r="AR53"/>
  <c r="BO56"/>
  <c r="AR56"/>
  <c r="BO57"/>
  <c r="AR57"/>
  <c r="BP53"/>
  <c r="M53"/>
  <c r="N53"/>
  <c r="BP56"/>
  <c r="M56"/>
  <c r="N56"/>
  <c r="BP57"/>
  <c r="M57"/>
  <c r="N57"/>
  <c r="BP58"/>
  <c r="M58"/>
  <c r="N58"/>
  <c r="BP59"/>
  <c r="M59"/>
  <c r="N59"/>
  <c r="AG59"/>
  <c r="AF59"/>
  <c r="AI59"/>
  <c r="AH59"/>
  <c r="AA59"/>
  <c r="AG58"/>
  <c r="AF58"/>
  <c r="AI58"/>
  <c r="AH58"/>
  <c r="AA58"/>
  <c r="AG57"/>
  <c r="AF57"/>
  <c r="AI57"/>
  <c r="AH57"/>
  <c r="AA57"/>
  <c r="AG56"/>
  <c r="AF56"/>
  <c r="AI56"/>
  <c r="AH56"/>
  <c r="AA56"/>
  <c r="AG53"/>
  <c r="AF53"/>
  <c r="AI53"/>
  <c r="AH53"/>
  <c r="AA53"/>
  <c r="DQ53"/>
  <c r="T53"/>
  <c r="T56"/>
  <c r="T57"/>
  <c r="DQ58"/>
  <c r="T58"/>
  <c r="DQ59"/>
  <c r="T59"/>
  <c r="BH116"/>
  <c r="D116"/>
  <c r="E116"/>
  <c r="BL116"/>
  <c r="A116"/>
  <c r="AY116"/>
  <c r="BH117"/>
  <c r="D117"/>
  <c r="E117"/>
  <c r="BL117"/>
  <c r="A117"/>
  <c r="AY117"/>
  <c r="BH118"/>
  <c r="D118"/>
  <c r="E118"/>
  <c r="BL118"/>
  <c r="A118"/>
  <c r="AY118"/>
  <c r="BH119"/>
  <c r="D119"/>
  <c r="E119"/>
  <c r="BL119"/>
  <c r="A119"/>
  <c r="AY119"/>
  <c r="DQ92"/>
  <c r="DQ112"/>
  <c r="DQ111"/>
  <c r="DQ102"/>
  <c r="BO116"/>
  <c r="BO117"/>
  <c r="BO118"/>
  <c r="BO119"/>
  <c r="EZ116"/>
  <c r="FF116"/>
  <c r="EZ117"/>
  <c r="FF117"/>
  <c r="EZ118"/>
  <c r="FF118"/>
  <c r="EZ119"/>
  <c r="FF119"/>
  <c r="BB117"/>
  <c r="AZ117"/>
  <c r="BB118"/>
  <c r="AZ118"/>
  <c r="BB119"/>
  <c r="AZ119"/>
  <c r="BB116"/>
  <c r="AW116"/>
  <c r="AX116"/>
  <c r="AW117"/>
  <c r="AX117"/>
  <c r="AW118"/>
  <c r="AX118"/>
  <c r="AW119"/>
  <c r="AX119"/>
  <c r="AZ116"/>
  <c r="BD117"/>
  <c r="BD118"/>
  <c r="BD119"/>
  <c r="BD116"/>
  <c r="AV117"/>
  <c r="AV118"/>
  <c r="AV119"/>
  <c r="AV116"/>
  <c r="BA117"/>
  <c r="BA118"/>
  <c r="BA119"/>
  <c r="BA116"/>
  <c r="BC118"/>
  <c r="AU117"/>
  <c r="BC117"/>
  <c r="AU118"/>
  <c r="AU119"/>
  <c r="BC119"/>
  <c r="BC116"/>
  <c r="AU116"/>
  <c r="DQ85"/>
  <c r="EZ21"/>
  <c r="FF21"/>
  <c r="EZ22"/>
  <c r="FF22"/>
  <c r="BB21"/>
  <c r="AW21"/>
  <c r="AX21"/>
  <c r="BB22"/>
  <c r="AW22"/>
  <c r="AX22"/>
  <c r="AZ21"/>
  <c r="AZ22"/>
  <c r="BD21"/>
  <c r="BC21"/>
  <c r="BA21"/>
  <c r="AV21"/>
  <c r="AU21"/>
  <c r="BD22"/>
  <c r="BC22"/>
  <c r="BA22"/>
  <c r="AV22"/>
  <c r="AU22"/>
  <c r="DQ86"/>
  <c r="D9"/>
  <c r="G9"/>
  <c r="CG9"/>
  <c r="CI9"/>
  <c r="CK9"/>
  <c r="CM9"/>
  <c r="D10"/>
  <c r="G10"/>
  <c r="CG10"/>
  <c r="CI10"/>
  <c r="CK10"/>
  <c r="CM10"/>
  <c r="G11"/>
  <c r="CG11"/>
  <c r="CI11"/>
  <c r="CK11"/>
  <c r="CM11"/>
  <c r="G12"/>
  <c r="CG12"/>
  <c r="CI12"/>
  <c r="CK12"/>
  <c r="CM12"/>
  <c r="CG8"/>
  <c r="CM8"/>
  <c r="CK8"/>
  <c r="CI8"/>
  <c r="DQ81"/>
  <c r="DQ76"/>
  <c r="DQ80"/>
  <c r="AR22"/>
  <c r="AR21"/>
  <c r="DQ43"/>
  <c r="BH46"/>
  <c r="BG46"/>
  <c r="BP46"/>
  <c r="DQ18"/>
  <c r="BH47"/>
  <c r="C24"/>
  <c r="AE24"/>
  <c r="AD24"/>
  <c r="AA24"/>
  <c r="DQ88"/>
  <c r="AR117"/>
  <c r="AR118"/>
  <c r="AR119"/>
  <c r="CC7"/>
  <c r="CE7"/>
  <c r="DQ113"/>
  <c r="AB21"/>
  <c r="AC21"/>
  <c r="AB22"/>
  <c r="AC22"/>
  <c r="AB116"/>
  <c r="AC116"/>
  <c r="AB117"/>
  <c r="AC117"/>
  <c r="AB118"/>
  <c r="AC118"/>
  <c r="AB119"/>
  <c r="AC119"/>
  <c r="BG22"/>
  <c r="BI22"/>
  <c r="BI21"/>
  <c r="BG21"/>
  <c r="AR116"/>
  <c r="AE21"/>
  <c r="AD21"/>
  <c r="K21"/>
  <c r="AG21"/>
  <c r="AF21"/>
  <c r="Q21"/>
  <c r="O21"/>
  <c r="K22"/>
  <c r="AG22"/>
  <c r="AF22"/>
  <c r="AE22"/>
  <c r="AD22"/>
  <c r="Q22"/>
  <c r="O22"/>
  <c r="Q117"/>
  <c r="Q118"/>
  <c r="Q119"/>
  <c r="Q116"/>
  <c r="BG117"/>
  <c r="BI117"/>
  <c r="BG118"/>
  <c r="BI118"/>
  <c r="BG119"/>
  <c r="BI119"/>
  <c r="BI116"/>
  <c r="BG116"/>
  <c r="DQ93"/>
  <c r="BG47"/>
  <c r="BP47"/>
  <c r="C5"/>
  <c r="AQ6"/>
  <c r="C6"/>
  <c r="BB6"/>
  <c r="I5"/>
  <c r="G13"/>
  <c r="AZ6"/>
  <c r="AR8"/>
  <c r="AX8"/>
  <c r="AZ8"/>
  <c r="AX6"/>
  <c r="AQ13"/>
  <c r="C13"/>
  <c r="AY13"/>
  <c r="AQ14"/>
  <c r="C14"/>
  <c r="AY14"/>
  <c r="AQ15"/>
  <c r="C15"/>
  <c r="AY15"/>
  <c r="AQ16"/>
  <c r="C16"/>
  <c r="AY16"/>
  <c r="AQ21"/>
  <c r="L21"/>
  <c r="AO21"/>
  <c r="AQ22"/>
  <c r="L22"/>
  <c r="AO22"/>
  <c r="G41"/>
  <c r="J41"/>
  <c r="K41"/>
  <c r="AO41"/>
  <c r="G42"/>
  <c r="J42"/>
  <c r="K42"/>
  <c r="AO42"/>
  <c r="BM6"/>
  <c r="BL6"/>
  <c r="BN6"/>
  <c r="BP6"/>
  <c r="BX6"/>
  <c r="CP8"/>
  <c r="CQ8"/>
  <c r="AW8"/>
  <c r="AW6"/>
  <c r="C7"/>
  <c r="CP9"/>
  <c r="CQ9"/>
  <c r="C8"/>
  <c r="CP10"/>
  <c r="CQ10"/>
  <c r="C9"/>
  <c r="CP11"/>
  <c r="CQ11"/>
  <c r="C10"/>
  <c r="CP12"/>
  <c r="CQ12"/>
  <c r="BR6"/>
  <c r="BT6"/>
  <c r="AZ13"/>
  <c r="AX13"/>
  <c r="BB13"/>
  <c r="BC13"/>
  <c r="BI13"/>
  <c r="AZ14"/>
  <c r="AX14"/>
  <c r="BB14"/>
  <c r="BC14"/>
  <c r="BI14"/>
  <c r="AZ15"/>
  <c r="AX15"/>
  <c r="BB15"/>
  <c r="BC15"/>
  <c r="BI15"/>
  <c r="AZ16"/>
  <c r="AX16"/>
  <c r="BB16"/>
  <c r="BC16"/>
  <c r="BI16"/>
  <c r="H41"/>
  <c r="AS41"/>
  <c r="AY41"/>
  <c r="H42"/>
  <c r="AS42"/>
  <c r="AY42"/>
  <c r="AQ116"/>
  <c r="AQ117"/>
  <c r="AQ118"/>
  <c r="AQ119"/>
  <c r="AR6"/>
  <c r="CR9"/>
  <c r="CS9"/>
  <c r="CR10"/>
  <c r="CS10"/>
  <c r="CR11"/>
  <c r="CS11"/>
  <c r="CR12"/>
  <c r="CS12"/>
  <c r="CR8"/>
  <c r="CS8"/>
  <c r="BZ6"/>
  <c r="L42"/>
  <c r="AA42"/>
  <c r="AE41"/>
  <c r="AD41"/>
  <c r="AG41"/>
  <c r="AF41"/>
  <c r="L41"/>
  <c r="AI41"/>
  <c r="AH41"/>
  <c r="AA41"/>
  <c r="AA23"/>
  <c r="AA22"/>
  <c r="AI21"/>
  <c r="AH21"/>
  <c r="AA21"/>
  <c r="AA20"/>
  <c r="AW16"/>
  <c r="D16"/>
  <c r="AA16"/>
  <c r="AW15"/>
  <c r="D15"/>
  <c r="AB15"/>
  <c r="AC15"/>
  <c r="AA15"/>
  <c r="AW13"/>
  <c r="D13"/>
  <c r="AB13"/>
  <c r="AC13"/>
  <c r="AW14"/>
  <c r="D14"/>
  <c r="AB14"/>
  <c r="AC14"/>
  <c r="AA14"/>
  <c r="AV8"/>
  <c r="B8"/>
  <c r="AB8"/>
  <c r="AC8"/>
  <c r="AB6"/>
  <c r="AC6"/>
  <c r="BB8"/>
  <c r="AB5"/>
  <c r="AC5"/>
  <c r="B9"/>
  <c r="AB9"/>
  <c r="AC9"/>
  <c r="B10"/>
  <c r="AB10"/>
  <c r="AC10"/>
  <c r="B11"/>
  <c r="AB11"/>
  <c r="AC11"/>
  <c r="B12"/>
  <c r="AB12"/>
  <c r="AC12"/>
  <c r="AB16"/>
  <c r="AC16"/>
  <c r="AR14"/>
  <c r="AR15"/>
  <c r="G15"/>
  <c r="AY8"/>
  <c r="AI22"/>
  <c r="AH22"/>
  <c r="AV42"/>
  <c r="DP42"/>
  <c r="DU42"/>
  <c r="DO42"/>
  <c r="DT42"/>
  <c r="DN42"/>
  <c r="DS42"/>
  <c r="DM42"/>
  <c r="DR42"/>
  <c r="AV41"/>
  <c r="DP41"/>
  <c r="DU41"/>
  <c r="DO41"/>
  <c r="DT41"/>
  <c r="DN41"/>
  <c r="DS41"/>
  <c r="DM41"/>
  <c r="DR41"/>
  <c r="B42"/>
  <c r="B41"/>
  <c r="BB42"/>
  <c r="BA42"/>
  <c r="AZ42"/>
  <c r="AX42"/>
  <c r="AW42"/>
  <c r="AU42"/>
  <c r="BB41"/>
  <c r="BA41"/>
  <c r="AZ41"/>
  <c r="AX41"/>
  <c r="AW41"/>
  <c r="AU41"/>
  <c r="DL42"/>
  <c r="DQ42"/>
  <c r="DL41"/>
  <c r="DQ41"/>
  <c r="AY5"/>
  <c r="BW6"/>
  <c r="AE42"/>
  <c r="AD42"/>
  <c r="AG42"/>
  <c r="AF42"/>
  <c r="AI42"/>
  <c r="AH42"/>
  <c r="T41"/>
  <c r="C41"/>
  <c r="BB5"/>
  <c r="BI6"/>
  <c r="BH6"/>
  <c r="BJ6"/>
  <c r="BE6"/>
  <c r="BD6"/>
  <c r="BC6"/>
  <c r="AY6"/>
  <c r="BG6"/>
  <c r="BF6"/>
  <c r="AS6"/>
  <c r="AT6"/>
  <c r="AU6"/>
  <c r="AS15"/>
  <c r="AS14"/>
  <c r="BA5"/>
  <c r="D5"/>
  <c r="AZ5"/>
  <c r="AR13"/>
  <c r="BM5"/>
  <c r="BL5"/>
  <c r="BK5"/>
  <c r="BJ5"/>
  <c r="BI5"/>
  <c r="BH5"/>
  <c r="BG5"/>
  <c r="BF5"/>
  <c r="C11"/>
  <c r="C12"/>
  <c r="BF14"/>
  <c r="B14"/>
  <c r="BF15"/>
  <c r="B15"/>
  <c r="BF16"/>
  <c r="B16"/>
  <c r="BF13"/>
  <c r="B13"/>
  <c r="BE14"/>
  <c r="BG14"/>
  <c r="BH14"/>
  <c r="BE15"/>
  <c r="BG15"/>
  <c r="BH15"/>
  <c r="BE16"/>
  <c r="BG16"/>
  <c r="BH16"/>
  <c r="BH13"/>
  <c r="BG13"/>
  <c r="BE13"/>
  <c r="AV13"/>
  <c r="DL13"/>
  <c r="DQ13"/>
  <c r="DM13"/>
  <c r="DR13"/>
  <c r="DN13"/>
  <c r="DS13"/>
  <c r="DO13"/>
  <c r="DT13"/>
  <c r="DP13"/>
  <c r="DU13"/>
  <c r="T13"/>
  <c r="T42"/>
  <c r="AV14"/>
  <c r="DL14"/>
  <c r="DQ14"/>
  <c r="DM14"/>
  <c r="DR14"/>
  <c r="DN14"/>
  <c r="DS14"/>
  <c r="DO14"/>
  <c r="DT14"/>
  <c r="DP14"/>
  <c r="DU14"/>
  <c r="T14"/>
  <c r="AV15"/>
  <c r="DL15"/>
  <c r="DQ15"/>
  <c r="DM15"/>
  <c r="DR15"/>
  <c r="DN15"/>
  <c r="DS15"/>
  <c r="DO15"/>
  <c r="DT15"/>
  <c r="DP15"/>
  <c r="DU15"/>
  <c r="T15"/>
  <c r="DL16"/>
  <c r="DQ16"/>
  <c r="DM16"/>
  <c r="DR16"/>
  <c r="DN16"/>
  <c r="DS16"/>
  <c r="DO16"/>
  <c r="DT16"/>
  <c r="DP16"/>
  <c r="DU16"/>
  <c r="T16"/>
  <c r="AV16"/>
  <c r="DP8"/>
  <c r="DU8"/>
  <c r="DO8"/>
  <c r="DT8"/>
  <c r="DN8"/>
  <c r="DS8"/>
  <c r="DM8"/>
  <c r="DR8"/>
  <c r="DL8"/>
  <c r="DQ8"/>
  <c r="C42"/>
  <c r="G14"/>
  <c r="AU8"/>
  <c r="G16"/>
  <c r="BC5"/>
  <c r="J9"/>
  <c r="BO6"/>
  <c r="J10"/>
  <c r="J11"/>
  <c r="J12"/>
  <c r="BQ6"/>
  <c r="BA6"/>
  <c r="BY6"/>
  <c r="BY7"/>
  <c r="BU6"/>
  <c r="BS6"/>
  <c r="BE5"/>
  <c r="CW53"/>
  <c r="FC53"/>
  <c r="CW56"/>
  <c r="FC56"/>
  <c r="CW59"/>
  <c r="FC59"/>
  <c r="CW57"/>
  <c r="FC57"/>
  <c r="CW58"/>
  <c r="FC58"/>
  <c r="CX59"/>
  <c r="FE59"/>
  <c r="CX57"/>
  <c r="FE57"/>
  <c r="CX58"/>
  <c r="FE58"/>
  <c r="CX53"/>
  <c r="FE53"/>
  <c r="CX56"/>
  <c r="FE56"/>
  <c r="BD5"/>
  <c r="CA6"/>
  <c r="ER42"/>
  <c r="ER41"/>
  <c r="EL22"/>
  <c r="EL21"/>
  <c r="G117"/>
  <c r="J117"/>
  <c r="P117"/>
  <c r="G118"/>
  <c r="J118"/>
  <c r="P118"/>
  <c r="G119"/>
  <c r="J119"/>
  <c r="P119"/>
  <c r="G116"/>
  <c r="J116"/>
  <c r="P116"/>
  <c r="G25"/>
  <c r="C25"/>
  <c r="BS30"/>
  <c r="BS31"/>
  <c r="BS32"/>
  <c r="BS33"/>
  <c r="BS34"/>
  <c r="O116"/>
  <c r="O117"/>
  <c r="O118"/>
  <c r="O119"/>
  <c r="Q84"/>
  <c r="Q85"/>
  <c r="Q86"/>
  <c r="AM83"/>
  <c r="K116"/>
  <c r="AO116"/>
  <c r="K117"/>
  <c r="AO117"/>
  <c r="K118"/>
  <c r="AO118"/>
  <c r="K119"/>
  <c r="AO119"/>
  <c r="R25"/>
  <c r="AM25"/>
  <c r="AE119"/>
  <c r="AD119"/>
  <c r="AG119"/>
  <c r="AF119"/>
  <c r="AE118"/>
  <c r="AD118"/>
  <c r="AG118"/>
  <c r="AF118"/>
  <c r="AE116"/>
  <c r="AD116"/>
  <c r="AG116"/>
  <c r="AF116"/>
  <c r="EP116"/>
  <c r="EO116"/>
  <c r="AE117"/>
  <c r="AD117"/>
  <c r="AG117"/>
  <c r="AF117"/>
  <c r="EP117"/>
  <c r="EO117"/>
  <c r="AE25"/>
  <c r="AD25"/>
  <c r="AA25"/>
  <c r="EP118"/>
  <c r="EP119"/>
  <c r="EO125"/>
  <c r="EO118"/>
  <c r="EO119"/>
  <c r="EO120"/>
  <c r="EO121"/>
  <c r="EO122"/>
  <c r="EO123"/>
  <c r="EO124"/>
  <c r="L119"/>
  <c r="AA119"/>
  <c r="AI119"/>
  <c r="AH119"/>
  <c r="L118"/>
  <c r="AI118"/>
  <c r="AH118"/>
  <c r="AA118"/>
  <c r="L116"/>
  <c r="AI116"/>
  <c r="AH116"/>
  <c r="AA116"/>
  <c r="L117"/>
  <c r="AI117"/>
  <c r="AH117"/>
  <c r="AA117"/>
  <c r="AA120"/>
  <c r="AA115"/>
  <c r="BP52"/>
  <c r="BP54"/>
  <c r="BP55"/>
  <c r="CX52"/>
  <c r="FE52"/>
  <c r="CX54"/>
  <c r="FE54"/>
  <c r="CX55"/>
  <c r="FE55"/>
  <c r="FD64"/>
  <c r="CW52"/>
  <c r="FC52"/>
  <c r="CW54"/>
  <c r="FC54"/>
  <c r="CW55"/>
  <c r="FC55"/>
  <c r="FB64"/>
  <c r="EX30"/>
  <c r="EX31"/>
  <c r="EX32"/>
  <c r="EX33"/>
  <c r="EX34"/>
  <c r="EW64"/>
  <c r="EV30"/>
  <c r="EV31"/>
  <c r="EV32"/>
  <c r="EV33"/>
  <c r="EV34"/>
  <c r="EU64"/>
  <c r="DF31"/>
  <c r="DF32"/>
  <c r="DF33"/>
  <c r="DF34"/>
  <c r="CS31"/>
  <c r="CS32"/>
  <c r="CS33"/>
  <c r="CS34"/>
  <c r="CS30"/>
  <c r="CS26"/>
  <c r="DF30"/>
  <c r="DF26"/>
  <c r="CS24"/>
  <c r="CU31"/>
  <c r="CU32"/>
  <c r="CU33"/>
  <c r="CU34"/>
  <c r="G38"/>
  <c r="CT31"/>
  <c r="CT32"/>
  <c r="CT33"/>
  <c r="CT34"/>
  <c r="CT30"/>
  <c r="CT26"/>
  <c r="G36"/>
  <c r="I36"/>
  <c r="K36"/>
  <c r="ER36"/>
  <c r="CU30"/>
  <c r="CU26"/>
  <c r="G37"/>
  <c r="I37"/>
  <c r="K37"/>
  <c r="ER37"/>
  <c r="I38"/>
  <c r="K38"/>
  <c r="ER38"/>
  <c r="ER39"/>
  <c r="ER40"/>
  <c r="EQ64"/>
  <c r="EL13"/>
  <c r="EL14"/>
  <c r="EL15"/>
  <c r="EL16"/>
  <c r="EL18"/>
  <c r="EL26"/>
  <c r="EK64"/>
  <c r="K63"/>
  <c r="EB63"/>
  <c r="EA64"/>
  <c r="C47"/>
  <c r="G48"/>
  <c r="BS48"/>
  <c r="BT48"/>
  <c r="BV48"/>
  <c r="H48"/>
  <c r="AQ48"/>
  <c r="BG48"/>
  <c r="CB45"/>
  <c r="CB46"/>
  <c r="J46"/>
  <c r="K46"/>
  <c r="DZ46"/>
  <c r="CC45"/>
  <c r="BX46"/>
  <c r="BZ47"/>
  <c r="CB47"/>
  <c r="J47"/>
  <c r="K47"/>
  <c r="DZ47"/>
  <c r="J48"/>
  <c r="K48"/>
  <c r="DZ48"/>
  <c r="DY64"/>
  <c r="H47"/>
  <c r="AS47"/>
  <c r="BB47"/>
  <c r="AW47"/>
  <c r="D47"/>
  <c r="H46"/>
  <c r="AS46"/>
  <c r="BB46"/>
  <c r="AW46"/>
  <c r="D46"/>
  <c r="E48"/>
  <c r="BM48"/>
  <c r="AR48"/>
  <c r="AS48"/>
  <c r="AW48"/>
  <c r="BB48"/>
  <c r="BJ48"/>
  <c r="D48"/>
  <c r="D106"/>
  <c r="BW106"/>
  <c r="AS106"/>
  <c r="AW106"/>
  <c r="G106"/>
  <c r="CB106"/>
  <c r="D107"/>
  <c r="BW107"/>
  <c r="AS107"/>
  <c r="AW107"/>
  <c r="G107"/>
  <c r="CB107"/>
  <c r="D108"/>
  <c r="BW108"/>
  <c r="AS108"/>
  <c r="AW108"/>
  <c r="G108"/>
  <c r="CB108"/>
  <c r="I106"/>
  <c r="J106"/>
  <c r="K106"/>
  <c r="I107"/>
  <c r="J107"/>
  <c r="K107"/>
  <c r="I108"/>
  <c r="J108"/>
  <c r="K108"/>
  <c r="G96"/>
  <c r="K96"/>
  <c r="AG96"/>
  <c r="AF96"/>
  <c r="AA96"/>
  <c r="FD96"/>
  <c r="FB96"/>
  <c r="EW96"/>
  <c r="EU96"/>
  <c r="EQ96"/>
  <c r="EK96"/>
  <c r="DE31"/>
  <c r="DE32"/>
  <c r="DE33"/>
  <c r="DE34"/>
  <c r="DE30"/>
  <c r="DE26"/>
  <c r="BR14"/>
  <c r="BR15"/>
  <c r="EJ96"/>
  <c r="I29"/>
  <c r="AW29"/>
  <c r="BM9"/>
  <c r="I9"/>
  <c r="K9"/>
  <c r="BM10"/>
  <c r="I10"/>
  <c r="K10"/>
  <c r="BM11"/>
  <c r="I11"/>
  <c r="K11"/>
  <c r="BM12"/>
  <c r="I12"/>
  <c r="K12"/>
  <c r="D65"/>
  <c r="J65"/>
  <c r="K65"/>
  <c r="J66"/>
  <c r="K66"/>
  <c r="J79"/>
  <c r="K79"/>
  <c r="G81"/>
  <c r="J81"/>
  <c r="G80"/>
  <c r="J80"/>
  <c r="K80"/>
  <c r="K81"/>
  <c r="J92"/>
  <c r="K92"/>
  <c r="C95"/>
  <c r="K95"/>
  <c r="EJ95"/>
  <c r="EI96"/>
  <c r="EF79"/>
  <c r="EF80"/>
  <c r="EF81"/>
  <c r="EF84"/>
  <c r="EF85"/>
  <c r="EF86"/>
  <c r="EF92"/>
  <c r="EE96"/>
  <c r="EB65"/>
  <c r="EB66"/>
  <c r="EA96"/>
  <c r="DY96"/>
  <c r="AR96"/>
  <c r="K2"/>
  <c r="R26"/>
  <c r="AM26"/>
  <c r="AS1"/>
  <c r="AT1"/>
  <c r="T27"/>
  <c r="R27"/>
  <c r="AM27"/>
  <c r="AE27"/>
  <c r="AD27"/>
  <c r="AA27"/>
  <c r="AE86"/>
  <c r="AD86"/>
  <c r="AG86"/>
  <c r="AF86"/>
  <c r="L86"/>
  <c r="AI86"/>
  <c r="AH86"/>
  <c r="R86"/>
  <c r="AM86"/>
  <c r="AA86"/>
  <c r="L85"/>
  <c r="AA85"/>
  <c r="AE84"/>
  <c r="AD84"/>
  <c r="AG84"/>
  <c r="AF84"/>
  <c r="L84"/>
  <c r="AI84"/>
  <c r="AH84"/>
  <c r="R84"/>
  <c r="AM84"/>
  <c r="AA84"/>
  <c r="AY47"/>
  <c r="AV47"/>
  <c r="B47"/>
  <c r="AB47"/>
  <c r="AC47"/>
  <c r="AE47"/>
  <c r="AD47"/>
  <c r="AG47"/>
  <c r="AF47"/>
  <c r="L47"/>
  <c r="AI47"/>
  <c r="AH47"/>
  <c r="AA47"/>
  <c r="AY46"/>
  <c r="AV46"/>
  <c r="B46"/>
  <c r="AB46"/>
  <c r="AC46"/>
  <c r="AE46"/>
  <c r="AD46"/>
  <c r="AG46"/>
  <c r="AF46"/>
  <c r="L46"/>
  <c r="AI46"/>
  <c r="AH46"/>
  <c r="AA46"/>
  <c r="AS4"/>
  <c r="AR4"/>
  <c r="AT4"/>
  <c r="AX29"/>
  <c r="BO9"/>
  <c r="BO10"/>
  <c r="BO11"/>
  <c r="BO12"/>
  <c r="BO8"/>
  <c r="BO2"/>
  <c r="BQ8"/>
  <c r="BQ9"/>
  <c r="BQ10"/>
  <c r="BQ11"/>
  <c r="BQ12"/>
  <c r="BQ2"/>
  <c r="BM8"/>
  <c r="BM2"/>
  <c r="BP8"/>
  <c r="BY9"/>
  <c r="BY10"/>
  <c r="BY11"/>
  <c r="BY12"/>
  <c r="BY8"/>
  <c r="BY2"/>
  <c r="BX8"/>
  <c r="BS8"/>
  <c r="BU8"/>
  <c r="BW8"/>
  <c r="BV8"/>
  <c r="BU9"/>
  <c r="BU10"/>
  <c r="BU11"/>
  <c r="BU12"/>
  <c r="BT8"/>
  <c r="BS9"/>
  <c r="BS10"/>
  <c r="BS11"/>
  <c r="BS12"/>
  <c r="BR8"/>
  <c r="BN8"/>
  <c r="BL8"/>
  <c r="BK8"/>
  <c r="AT29"/>
  <c r="H39"/>
  <c r="AS39"/>
  <c r="AY39"/>
  <c r="H40"/>
  <c r="AS40"/>
  <c r="AY40"/>
  <c r="BI48"/>
  <c r="AY48"/>
  <c r="AY106"/>
  <c r="CC106"/>
  <c r="AY107"/>
  <c r="CC107"/>
  <c r="AY108"/>
  <c r="CC108"/>
  <c r="AG2"/>
  <c r="AF2"/>
  <c r="BP9"/>
  <c r="BX9"/>
  <c r="BW9"/>
  <c r="BV9"/>
  <c r="BT9"/>
  <c r="BR9"/>
  <c r="BN9"/>
  <c r="BL9"/>
  <c r="BK9"/>
  <c r="BH48"/>
  <c r="L5"/>
  <c r="I8"/>
  <c r="L8"/>
  <c r="L9"/>
  <c r="L10"/>
  <c r="L11"/>
  <c r="L12"/>
  <c r="L13"/>
  <c r="L14"/>
  <c r="L15"/>
  <c r="L16"/>
  <c r="L29"/>
  <c r="L39"/>
  <c r="L40"/>
  <c r="L45"/>
  <c r="L48"/>
  <c r="L63"/>
  <c r="L65"/>
  <c r="L79"/>
  <c r="L80"/>
  <c r="L81"/>
  <c r="L92"/>
  <c r="L106"/>
  <c r="L107"/>
  <c r="L108"/>
  <c r="L2"/>
  <c r="AI2"/>
  <c r="AH2"/>
  <c r="AV1"/>
  <c r="Q2"/>
  <c r="AM2"/>
  <c r="AA2"/>
  <c r="C4"/>
  <c r="BW52"/>
  <c r="BB52"/>
  <c r="BO52"/>
  <c r="BU52"/>
  <c r="AQ52"/>
  <c r="AR52"/>
  <c r="BW54"/>
  <c r="BB54"/>
  <c r="BO54"/>
  <c r="BU54"/>
  <c r="AQ54"/>
  <c r="AR54"/>
  <c r="BW55"/>
  <c r="BB55"/>
  <c r="BO55"/>
  <c r="BU55"/>
  <c r="AQ55"/>
  <c r="AR55"/>
  <c r="BC54"/>
  <c r="CQ54"/>
  <c r="CR54"/>
  <c r="CS54"/>
  <c r="BC55"/>
  <c r="CQ55"/>
  <c r="CR55"/>
  <c r="CS55"/>
  <c r="BC52"/>
  <c r="CQ52"/>
  <c r="CR52"/>
  <c r="CS52"/>
  <c r="DE54"/>
  <c r="DF54"/>
  <c r="DG54"/>
  <c r="DH54"/>
  <c r="DI54"/>
  <c r="DJ54"/>
  <c r="DE55"/>
  <c r="DF55"/>
  <c r="DG55"/>
  <c r="DH55"/>
  <c r="DI55"/>
  <c r="DJ55"/>
  <c r="DF52"/>
  <c r="DG52"/>
  <c r="DH52"/>
  <c r="DI52"/>
  <c r="DJ52"/>
  <c r="DE52"/>
  <c r="FD85"/>
  <c r="FB85"/>
  <c r="M54"/>
  <c r="N54"/>
  <c r="M55"/>
  <c r="N55"/>
  <c r="M52"/>
  <c r="N52"/>
  <c r="EZ54"/>
  <c r="FF54"/>
  <c r="EZ55"/>
  <c r="FF55"/>
  <c r="EZ52"/>
  <c r="FF52"/>
  <c r="FB63"/>
  <c r="FB52"/>
  <c r="FB53"/>
  <c r="FB65"/>
  <c r="BN174"/>
  <c r="BT177"/>
  <c r="FB55"/>
  <c r="FB54"/>
  <c r="BT185"/>
  <c r="FB56"/>
  <c r="BT178"/>
  <c r="BT186"/>
  <c r="BT179"/>
  <c r="BT187"/>
  <c r="FB59"/>
  <c r="FB57"/>
  <c r="FB58"/>
  <c r="BT180"/>
  <c r="BT188"/>
  <c r="FB60"/>
  <c r="BT181"/>
  <c r="BT189"/>
  <c r="BT182"/>
  <c r="BT190"/>
  <c r="BT183"/>
  <c r="BT191"/>
  <c r="BT184"/>
  <c r="BT192"/>
  <c r="BT193"/>
  <c r="BT194"/>
  <c r="BT195"/>
  <c r="BT196"/>
  <c r="BT197"/>
  <c r="BT198"/>
  <c r="BT199"/>
  <c r="BT200"/>
  <c r="BT201"/>
  <c r="BT202"/>
  <c r="BT203"/>
  <c r="BT204"/>
  <c r="BT205"/>
  <c r="BT206"/>
  <c r="BT207"/>
  <c r="BT208"/>
  <c r="BT209"/>
  <c r="BT210"/>
  <c r="BT211"/>
  <c r="BT212"/>
  <c r="BT213"/>
  <c r="BT214"/>
  <c r="BT215"/>
  <c r="BT216"/>
  <c r="BT217"/>
  <c r="BT218"/>
  <c r="BT219"/>
  <c r="BT220"/>
  <c r="BT221"/>
  <c r="BT222"/>
  <c r="BT223"/>
  <c r="BT224"/>
  <c r="FD63"/>
  <c r="FD55"/>
  <c r="FD59"/>
  <c r="FD57"/>
  <c r="FD58"/>
  <c r="FD95"/>
  <c r="FB61"/>
  <c r="FB62"/>
  <c r="FB66"/>
  <c r="FB67"/>
  <c r="FB68"/>
  <c r="FB69"/>
  <c r="FB70"/>
  <c r="FB71"/>
  <c r="FB72"/>
  <c r="FB73"/>
  <c r="FB74"/>
  <c r="FB75"/>
  <c r="FB76"/>
  <c r="FB77"/>
  <c r="FB78"/>
  <c r="FB79"/>
  <c r="FB80"/>
  <c r="FB81"/>
  <c r="FB82"/>
  <c r="FB83"/>
  <c r="FB84"/>
  <c r="FB86"/>
  <c r="FB87"/>
  <c r="FB88"/>
  <c r="FB89"/>
  <c r="FB90"/>
  <c r="FB91"/>
  <c r="FB92"/>
  <c r="FB93"/>
  <c r="FB94"/>
  <c r="FB95"/>
  <c r="FB97"/>
  <c r="FB98"/>
  <c r="FB99"/>
  <c r="FB100"/>
  <c r="FB101"/>
  <c r="FB102"/>
  <c r="FB103"/>
  <c r="FB104"/>
  <c r="FB105"/>
  <c r="FB106"/>
  <c r="FB107"/>
  <c r="FB108"/>
  <c r="FB109"/>
  <c r="FB110"/>
  <c r="FB111"/>
  <c r="FB112"/>
  <c r="FB113"/>
  <c r="FB114"/>
  <c r="FB115"/>
  <c r="FB116"/>
  <c r="FB117"/>
  <c r="FB118"/>
  <c r="FB119"/>
  <c r="FB120"/>
  <c r="FB121"/>
  <c r="FB122"/>
  <c r="FB123"/>
  <c r="FB124"/>
  <c r="FB125"/>
  <c r="FD52"/>
  <c r="FD53"/>
  <c r="FD54"/>
  <c r="FD56"/>
  <c r="FD60"/>
  <c r="FD61"/>
  <c r="FD62"/>
  <c r="FD65"/>
  <c r="FD66"/>
  <c r="FD67"/>
  <c r="FD68"/>
  <c r="FD69"/>
  <c r="FD70"/>
  <c r="FD71"/>
  <c r="FD72"/>
  <c r="FD73"/>
  <c r="FD74"/>
  <c r="FD75"/>
  <c r="FD76"/>
  <c r="FD77"/>
  <c r="FD78"/>
  <c r="FD79"/>
  <c r="FD80"/>
  <c r="FD81"/>
  <c r="FD82"/>
  <c r="FD83"/>
  <c r="FD84"/>
  <c r="FD86"/>
  <c r="FD87"/>
  <c r="FD88"/>
  <c r="FD89"/>
  <c r="FD90"/>
  <c r="FD91"/>
  <c r="FD92"/>
  <c r="FD93"/>
  <c r="FD94"/>
  <c r="FD97"/>
  <c r="FD98"/>
  <c r="AV55"/>
  <c r="P55"/>
  <c r="AB55"/>
  <c r="AC55"/>
  <c r="AE55"/>
  <c r="AD55"/>
  <c r="AG55"/>
  <c r="AF55"/>
  <c r="AI55"/>
  <c r="AH55"/>
  <c r="AA55"/>
  <c r="AV54"/>
  <c r="P54"/>
  <c r="AB54"/>
  <c r="AC54"/>
  <c r="AE54"/>
  <c r="AD54"/>
  <c r="AG54"/>
  <c r="AF54"/>
  <c r="AI54"/>
  <c r="AH54"/>
  <c r="AA54"/>
  <c r="AV52"/>
  <c r="P52"/>
  <c r="AB52"/>
  <c r="AC52"/>
  <c r="AE52"/>
  <c r="AD52"/>
  <c r="AG52"/>
  <c r="AF52"/>
  <c r="AI52"/>
  <c r="AH52"/>
  <c r="AA52"/>
  <c r="O52"/>
  <c r="O54"/>
  <c r="O55"/>
  <c r="DM54"/>
  <c r="DR54"/>
  <c r="DN54"/>
  <c r="DS54"/>
  <c r="DO54"/>
  <c r="DT54"/>
  <c r="DP54"/>
  <c r="DU54"/>
  <c r="DM55"/>
  <c r="DR55"/>
  <c r="DN55"/>
  <c r="DS55"/>
  <c r="DO55"/>
  <c r="DT55"/>
  <c r="DP55"/>
  <c r="DU55"/>
  <c r="DM52"/>
  <c r="DR52"/>
  <c r="DN52"/>
  <c r="DS52"/>
  <c r="DO52"/>
  <c r="DT52"/>
  <c r="DP52"/>
  <c r="DU52"/>
  <c r="BJ54"/>
  <c r="BJ55"/>
  <c r="BJ52"/>
  <c r="BT52"/>
  <c r="AU54"/>
  <c r="AX54"/>
  <c r="AZ54"/>
  <c r="BA54"/>
  <c r="AU55"/>
  <c r="AX55"/>
  <c r="AZ55"/>
  <c r="BA55"/>
  <c r="BA52"/>
  <c r="AZ52"/>
  <c r="AX52"/>
  <c r="AU52"/>
  <c r="BT54"/>
  <c r="BV54"/>
  <c r="BT55"/>
  <c r="BV55"/>
  <c r="BV52"/>
  <c r="BF54"/>
  <c r="BG54"/>
  <c r="BF55"/>
  <c r="BG55"/>
  <c r="BG52"/>
  <c r="BF52"/>
  <c r="B54"/>
  <c r="B55"/>
  <c r="B52"/>
  <c r="DL55"/>
  <c r="DQ55"/>
  <c r="T55"/>
  <c r="DL52"/>
  <c r="DQ52"/>
  <c r="T52"/>
  <c r="DL54"/>
  <c r="DQ54"/>
  <c r="T54"/>
  <c r="BO31"/>
  <c r="BU31"/>
  <c r="D31"/>
  <c r="BO32"/>
  <c r="BU32"/>
  <c r="D32"/>
  <c r="BO33"/>
  <c r="BU33"/>
  <c r="D33"/>
  <c r="BO34"/>
  <c r="BU34"/>
  <c r="D34"/>
  <c r="BO30"/>
  <c r="BU30"/>
  <c r="D30"/>
  <c r="BN30"/>
  <c r="C30"/>
  <c r="C34"/>
  <c r="BN33"/>
  <c r="C33"/>
  <c r="C32"/>
  <c r="BN31"/>
  <c r="C31"/>
  <c r="R34"/>
  <c r="R33"/>
  <c r="R31"/>
  <c r="R32"/>
  <c r="R30"/>
  <c r="BB99"/>
  <c r="AR99"/>
  <c r="BB100"/>
  <c r="AR100"/>
  <c r="BB101"/>
  <c r="AR101"/>
  <c r="BB103"/>
  <c r="AR103"/>
  <c r="BB104"/>
  <c r="AR104"/>
  <c r="BB105"/>
  <c r="AR105"/>
  <c r="BB106"/>
  <c r="AR106"/>
  <c r="BB107"/>
  <c r="AR107"/>
  <c r="BB108"/>
  <c r="AR108"/>
  <c r="DJ31"/>
  <c r="DJ32"/>
  <c r="DD34"/>
  <c r="DC34"/>
  <c r="DB34"/>
  <c r="DA34"/>
  <c r="AE34"/>
  <c r="AD34"/>
  <c r="AE31"/>
  <c r="AD31"/>
  <c r="DD32"/>
  <c r="DC32"/>
  <c r="DB32"/>
  <c r="DA32"/>
  <c r="AE32"/>
  <c r="AD32"/>
  <c r="DA31"/>
  <c r="DB31"/>
  <c r="DC31"/>
  <c r="DD31"/>
  <c r="AG15"/>
  <c r="AF15"/>
  <c r="AI15"/>
  <c r="AH15"/>
  <c r="AG14"/>
  <c r="AF14"/>
  <c r="AI14"/>
  <c r="AH14"/>
  <c r="EE79"/>
  <c r="CX99"/>
  <c r="FE99"/>
  <c r="CX100"/>
  <c r="FE100"/>
  <c r="CX101"/>
  <c r="FE101"/>
  <c r="CX103"/>
  <c r="FE103"/>
  <c r="CX104"/>
  <c r="FE104"/>
  <c r="CX105"/>
  <c r="FE105"/>
  <c r="FD111"/>
  <c r="FD118"/>
  <c r="FD114"/>
  <c r="FD112"/>
  <c r="FD113"/>
  <c r="BP174"/>
  <c r="CK198"/>
  <c r="CK197"/>
  <c r="FD103"/>
  <c r="FD99"/>
  <c r="FD101"/>
  <c r="FD100"/>
  <c r="FD107"/>
  <c r="FD105"/>
  <c r="FD104"/>
  <c r="FD110"/>
  <c r="FD102"/>
  <c r="FD106"/>
  <c r="CK186"/>
  <c r="CK196"/>
  <c r="CK185"/>
  <c r="CK195"/>
  <c r="CK194"/>
  <c r="CK177"/>
  <c r="CK178"/>
  <c r="CK179"/>
  <c r="CK180"/>
  <c r="CK181"/>
  <c r="CK182"/>
  <c r="CK183"/>
  <c r="CK184"/>
  <c r="CK187"/>
  <c r="CK188"/>
  <c r="CK189"/>
  <c r="CK190"/>
  <c r="CK191"/>
  <c r="CK192"/>
  <c r="CK193"/>
  <c r="CK199"/>
  <c r="CK200"/>
  <c r="CK201"/>
  <c r="CK202"/>
  <c r="CK203"/>
  <c r="CK204"/>
  <c r="CK205"/>
  <c r="CK206"/>
  <c r="CK207"/>
  <c r="CK208"/>
  <c r="CK209"/>
  <c r="CK210"/>
  <c r="CK211"/>
  <c r="CK212"/>
  <c r="CK213"/>
  <c r="CK214"/>
  <c r="CK215"/>
  <c r="CK216"/>
  <c r="CK217"/>
  <c r="CK218"/>
  <c r="CK219"/>
  <c r="CK220"/>
  <c r="CK221"/>
  <c r="CK222"/>
  <c r="CK223"/>
  <c r="CK224"/>
  <c r="CK225"/>
  <c r="CK226"/>
  <c r="CK227"/>
  <c r="CK228"/>
  <c r="CK229"/>
  <c r="CK230"/>
  <c r="CK231"/>
  <c r="CK232"/>
  <c r="CK233"/>
  <c r="CK234"/>
  <c r="CK235"/>
  <c r="CK236"/>
  <c r="CK237"/>
  <c r="CK238"/>
  <c r="CK239"/>
  <c r="CK240"/>
  <c r="CK241"/>
  <c r="CK242"/>
  <c r="CK243"/>
  <c r="CK244"/>
  <c r="CK245"/>
  <c r="CK246"/>
  <c r="CK247"/>
  <c r="CK248"/>
  <c r="CK249"/>
  <c r="CK250"/>
  <c r="CK251"/>
  <c r="FD122"/>
  <c r="FD124"/>
  <c r="FD125"/>
  <c r="FD108"/>
  <c r="FD109"/>
  <c r="FD115"/>
  <c r="FD116"/>
  <c r="FD117"/>
  <c r="FD119"/>
  <c r="FD120"/>
  <c r="FD121"/>
  <c r="FD123"/>
  <c r="AE128"/>
  <c r="AD128"/>
  <c r="AG128"/>
  <c r="AF128"/>
  <c r="L128"/>
  <c r="AI128"/>
  <c r="AH128"/>
  <c r="AA128"/>
  <c r="AE130"/>
  <c r="AD130"/>
  <c r="AG130"/>
  <c r="AF130"/>
  <c r="L130"/>
  <c r="AI130"/>
  <c r="AH130"/>
  <c r="AA130"/>
  <c r="AE133"/>
  <c r="AD133"/>
  <c r="AG133"/>
  <c r="AF133"/>
  <c r="AA133"/>
  <c r="AE135"/>
  <c r="AD135"/>
  <c r="AA135"/>
  <c r="AG137"/>
  <c r="AF137"/>
  <c r="AA137"/>
  <c r="AE138"/>
  <c r="AD138"/>
  <c r="L138"/>
  <c r="AI138"/>
  <c r="AH138"/>
  <c r="AA138"/>
  <c r="M2"/>
  <c r="AG139"/>
  <c r="AF139"/>
  <c r="AE139"/>
  <c r="AD139"/>
  <c r="AA139"/>
  <c r="AE142"/>
  <c r="AD142"/>
  <c r="AG142"/>
  <c r="AF142"/>
  <c r="L142"/>
  <c r="AI142"/>
  <c r="AH142"/>
  <c r="AA142"/>
  <c r="CA108"/>
  <c r="AQ108"/>
  <c r="BA108"/>
  <c r="P108"/>
  <c r="AB108"/>
  <c r="AC108"/>
  <c r="AE108"/>
  <c r="AD108"/>
  <c r="AG108"/>
  <c r="AF108"/>
  <c r="AI108"/>
  <c r="AH108"/>
  <c r="AA108"/>
  <c r="BY107"/>
  <c r="AQ107"/>
  <c r="BA107"/>
  <c r="P107"/>
  <c r="AB107"/>
  <c r="AC107"/>
  <c r="AE107"/>
  <c r="AD107"/>
  <c r="AG107"/>
  <c r="AF107"/>
  <c r="AI107"/>
  <c r="AH107"/>
  <c r="AA107"/>
  <c r="BY106"/>
  <c r="AQ106"/>
  <c r="BA106"/>
  <c r="P106"/>
  <c r="AB106"/>
  <c r="AC106"/>
  <c r="AE106"/>
  <c r="AD106"/>
  <c r="AG106"/>
  <c r="AF106"/>
  <c r="AI106"/>
  <c r="AH106"/>
  <c r="AA106"/>
  <c r="BY105"/>
  <c r="AQ105"/>
  <c r="BA105"/>
  <c r="P105"/>
  <c r="AB105"/>
  <c r="AC105"/>
  <c r="AE105"/>
  <c r="AD105"/>
  <c r="AG105"/>
  <c r="AF105"/>
  <c r="AI105"/>
  <c r="AH105"/>
  <c r="AA105"/>
  <c r="BY104"/>
  <c r="AQ104"/>
  <c r="BA104"/>
  <c r="P104"/>
  <c r="AB104"/>
  <c r="AC104"/>
  <c r="AE104"/>
  <c r="AD104"/>
  <c r="AG104"/>
  <c r="AF104"/>
  <c r="AI104"/>
  <c r="AH104"/>
  <c r="AA104"/>
  <c r="BY103"/>
  <c r="AQ103"/>
  <c r="BA103"/>
  <c r="P103"/>
  <c r="AB103"/>
  <c r="AC103"/>
  <c r="AE103"/>
  <c r="AD103"/>
  <c r="AG103"/>
  <c r="AF103"/>
  <c r="AI103"/>
  <c r="AH103"/>
  <c r="AA103"/>
  <c r="P101"/>
  <c r="AB101"/>
  <c r="AC101"/>
  <c r="AE101"/>
  <c r="AD101"/>
  <c r="AG101"/>
  <c r="AF101"/>
  <c r="AI101"/>
  <c r="AH101"/>
  <c r="AA101"/>
  <c r="CA100"/>
  <c r="AQ100"/>
  <c r="BA100"/>
  <c r="P100"/>
  <c r="AB100"/>
  <c r="AC100"/>
  <c r="AE100"/>
  <c r="AD100"/>
  <c r="AG100"/>
  <c r="AF100"/>
  <c r="AI100"/>
  <c r="AH100"/>
  <c r="AA100"/>
  <c r="CA99"/>
  <c r="AQ99"/>
  <c r="BA99"/>
  <c r="P99"/>
  <c r="AB99"/>
  <c r="AC99"/>
  <c r="AE99"/>
  <c r="AD99"/>
  <c r="AG99"/>
  <c r="AF99"/>
  <c r="AI99"/>
  <c r="AH99"/>
  <c r="AA99"/>
  <c r="AA109"/>
  <c r="AE92"/>
  <c r="AD92"/>
  <c r="AG92"/>
  <c r="AF92"/>
  <c r="AI92"/>
  <c r="AH92"/>
  <c r="AA92"/>
  <c r="AE79"/>
  <c r="AD79"/>
  <c r="AG79"/>
  <c r="AF79"/>
  <c r="AI79"/>
  <c r="AH79"/>
  <c r="AA79"/>
  <c r="AE40"/>
  <c r="AD40"/>
  <c r="AG40"/>
  <c r="AF40"/>
  <c r="AI40"/>
  <c r="AH40"/>
  <c r="AA40"/>
  <c r="AI17"/>
  <c r="AH17"/>
  <c r="AA17"/>
  <c r="AI13"/>
  <c r="AH13"/>
  <c r="AG13"/>
  <c r="AF13"/>
  <c r="AA13"/>
  <c r="AG4"/>
  <c r="AF4"/>
  <c r="AA4"/>
  <c r="AI5"/>
  <c r="AH5"/>
  <c r="AA5"/>
  <c r="CD108"/>
  <c r="CD107"/>
  <c r="CD106"/>
  <c r="DB106"/>
  <c r="DB107"/>
  <c r="DB108"/>
  <c r="DB102"/>
  <c r="O103"/>
  <c r="O104"/>
  <c r="BX107"/>
  <c r="BZ107"/>
  <c r="CA107"/>
  <c r="BY108"/>
  <c r="BX108"/>
  <c r="BZ108"/>
  <c r="CA106"/>
  <c r="BX106"/>
  <c r="BZ106"/>
  <c r="CA105"/>
  <c r="BX105"/>
  <c r="BZ105"/>
  <c r="CA103"/>
  <c r="CA104"/>
  <c r="AV103"/>
  <c r="DM103"/>
  <c r="DR103"/>
  <c r="DN103"/>
  <c r="DS103"/>
  <c r="DO103"/>
  <c r="DT103"/>
  <c r="DP103"/>
  <c r="DU103"/>
  <c r="DL103"/>
  <c r="DQ103"/>
  <c r="T103"/>
  <c r="BX103"/>
  <c r="BZ103"/>
  <c r="BX104"/>
  <c r="BZ104"/>
  <c r="B103"/>
  <c r="AU103"/>
  <c r="AX103"/>
  <c r="AV104"/>
  <c r="DM104"/>
  <c r="DR104"/>
  <c r="DN104"/>
  <c r="DS104"/>
  <c r="DO104"/>
  <c r="DT104"/>
  <c r="DP104"/>
  <c r="DU104"/>
  <c r="DL104"/>
  <c r="DQ104"/>
  <c r="T104"/>
  <c r="B104"/>
  <c r="AU104"/>
  <c r="AX104"/>
  <c r="O101"/>
  <c r="BY101"/>
  <c r="AQ101"/>
  <c r="BA101"/>
  <c r="CA101"/>
  <c r="AV101"/>
  <c r="DM101"/>
  <c r="DR101"/>
  <c r="DN101"/>
  <c r="DS101"/>
  <c r="DO101"/>
  <c r="DT101"/>
  <c r="DP101"/>
  <c r="DU101"/>
  <c r="DL101"/>
  <c r="DQ101"/>
  <c r="T101"/>
  <c r="BY100"/>
  <c r="BY99"/>
  <c r="BX100"/>
  <c r="BZ100"/>
  <c r="BX101"/>
  <c r="BZ101"/>
  <c r="BZ99"/>
  <c r="BX99"/>
  <c r="B101"/>
  <c r="AU101"/>
  <c r="AX101"/>
  <c r="O100"/>
  <c r="O105"/>
  <c r="O106"/>
  <c r="O107"/>
  <c r="O108"/>
  <c r="O99"/>
  <c r="AV100"/>
  <c r="DM100"/>
  <c r="DR100"/>
  <c r="DN100"/>
  <c r="DS100"/>
  <c r="DO100"/>
  <c r="DT100"/>
  <c r="DP100"/>
  <c r="DU100"/>
  <c r="DL100"/>
  <c r="DQ100"/>
  <c r="T100"/>
  <c r="B100"/>
  <c r="AU100"/>
  <c r="AX100"/>
  <c r="AV107"/>
  <c r="DL107"/>
  <c r="DQ107"/>
  <c r="DM107"/>
  <c r="DR107"/>
  <c r="DN107"/>
  <c r="DS107"/>
  <c r="DO107"/>
  <c r="DT107"/>
  <c r="DP107"/>
  <c r="DU107"/>
  <c r="T107"/>
  <c r="AV108"/>
  <c r="DL108"/>
  <c r="DQ108"/>
  <c r="DM108"/>
  <c r="DR108"/>
  <c r="DN108"/>
  <c r="DS108"/>
  <c r="DO108"/>
  <c r="DT108"/>
  <c r="DP108"/>
  <c r="DU108"/>
  <c r="T108"/>
  <c r="AV106"/>
  <c r="DL106"/>
  <c r="DQ106"/>
  <c r="DM106"/>
  <c r="DR106"/>
  <c r="DN106"/>
  <c r="DS106"/>
  <c r="DO106"/>
  <c r="DT106"/>
  <c r="DP106"/>
  <c r="DU106"/>
  <c r="T106"/>
  <c r="B107"/>
  <c r="AU107"/>
  <c r="AX107"/>
  <c r="B108"/>
  <c r="AU108"/>
  <c r="AX108"/>
  <c r="B106"/>
  <c r="AU106"/>
  <c r="AX106"/>
  <c r="AV105"/>
  <c r="B105"/>
  <c r="DL105"/>
  <c r="DQ105"/>
  <c r="DM105"/>
  <c r="DR105"/>
  <c r="DN105"/>
  <c r="DS105"/>
  <c r="DO105"/>
  <c r="DT105"/>
  <c r="DP105"/>
  <c r="DU105"/>
  <c r="T105"/>
  <c r="AU105"/>
  <c r="AX105"/>
  <c r="AI16"/>
  <c r="AH16"/>
  <c r="AG16"/>
  <c r="AF16"/>
  <c r="AV40"/>
  <c r="DP40"/>
  <c r="DU40"/>
  <c r="DO40"/>
  <c r="DT40"/>
  <c r="DN40"/>
  <c r="DS40"/>
  <c r="DM40"/>
  <c r="DR40"/>
  <c r="B40"/>
  <c r="BB40"/>
  <c r="BA40"/>
  <c r="AZ40"/>
  <c r="AX40"/>
  <c r="AW40"/>
  <c r="AU40"/>
  <c r="DL40"/>
  <c r="DQ40"/>
  <c r="T92"/>
  <c r="AV99"/>
  <c r="DM99"/>
  <c r="DR99"/>
  <c r="DN99"/>
  <c r="DS99"/>
  <c r="DO99"/>
  <c r="DT99"/>
  <c r="DP99"/>
  <c r="DU99"/>
  <c r="DL99"/>
  <c r="DQ99"/>
  <c r="T99"/>
  <c r="AU99"/>
  <c r="B99"/>
  <c r="AX99"/>
  <c r="T40"/>
  <c r="T17"/>
  <c r="T79"/>
  <c r="EK17"/>
  <c r="EK16"/>
  <c r="EK15"/>
  <c r="EK14"/>
  <c r="EK13"/>
  <c r="C40"/>
  <c r="C79"/>
  <c r="N2"/>
  <c r="AV34"/>
  <c r="DP34"/>
  <c r="DU34"/>
  <c r="DO34"/>
  <c r="DT34"/>
  <c r="DN34"/>
  <c r="DS34"/>
  <c r="DM34"/>
  <c r="DR34"/>
  <c r="DL34"/>
  <c r="DQ34"/>
  <c r="AW34"/>
  <c r="AU34"/>
  <c r="AV32"/>
  <c r="DP32"/>
  <c r="DU32"/>
  <c r="DO32"/>
  <c r="DT32"/>
  <c r="DN32"/>
  <c r="DS32"/>
  <c r="DM32"/>
  <c r="DR32"/>
  <c r="DL32"/>
  <c r="DQ32"/>
  <c r="AW32"/>
  <c r="AU32"/>
  <c r="AU31"/>
  <c r="AW31"/>
  <c r="AV31"/>
  <c r="DL31"/>
  <c r="DQ31"/>
  <c r="DM31"/>
  <c r="DR31"/>
  <c r="DN31"/>
  <c r="DS31"/>
  <c r="DO31"/>
  <c r="DT31"/>
  <c r="DP31"/>
  <c r="DU31"/>
  <c r="AQ4"/>
  <c r="DJ30"/>
  <c r="DJ26"/>
  <c r="F1"/>
  <c r="E1"/>
  <c r="D1"/>
  <c r="AB1"/>
  <c r="AC1"/>
  <c r="C1"/>
  <c r="AE1"/>
  <c r="AD1"/>
  <c r="I61"/>
  <c r="C2"/>
  <c r="AG1"/>
  <c r="AF1"/>
  <c r="AU1"/>
  <c r="Q1"/>
  <c r="AM1"/>
  <c r="BN2"/>
  <c r="BP2"/>
  <c r="BX2"/>
  <c r="CA9"/>
  <c r="CA10"/>
  <c r="CA11"/>
  <c r="CA12"/>
  <c r="CA8"/>
  <c r="CA2"/>
  <c r="BZ2"/>
  <c r="BW10"/>
  <c r="BW11"/>
  <c r="BW12"/>
  <c r="BW2"/>
  <c r="BV2"/>
  <c r="BU2"/>
  <c r="BT2"/>
  <c r="CE2"/>
  <c r="CD2"/>
  <c r="BS2"/>
  <c r="BR2"/>
  <c r="CC2"/>
  <c r="CB2"/>
  <c r="BL2"/>
  <c r="BK2"/>
  <c r="E6"/>
  <c r="AD6"/>
  <c r="AA6"/>
  <c r="E7"/>
  <c r="AD7"/>
  <c r="AA7"/>
  <c r="AI8"/>
  <c r="AE8"/>
  <c r="AD8"/>
  <c r="AA8"/>
  <c r="AE9"/>
  <c r="AD9"/>
  <c r="AG9"/>
  <c r="AF9"/>
  <c r="AI9"/>
  <c r="AA9"/>
  <c r="AA10"/>
  <c r="AA11"/>
  <c r="AA12"/>
  <c r="AE18"/>
  <c r="AD18"/>
  <c r="AG18"/>
  <c r="AF18"/>
  <c r="AI18"/>
  <c r="AH18"/>
  <c r="AA18"/>
  <c r="AE26"/>
  <c r="AD26"/>
  <c r="AA26"/>
  <c r="AA28"/>
  <c r="AS29"/>
  <c r="C29"/>
  <c r="AB29"/>
  <c r="AC29"/>
  <c r="AI29"/>
  <c r="AH29"/>
  <c r="R29"/>
  <c r="Q29"/>
  <c r="AM29"/>
  <c r="AA29"/>
  <c r="AV30"/>
  <c r="B30"/>
  <c r="AB30"/>
  <c r="AC30"/>
  <c r="AE30"/>
  <c r="AD30"/>
  <c r="AG30"/>
  <c r="AF30"/>
  <c r="AI30"/>
  <c r="AH30"/>
  <c r="AA30"/>
  <c r="B31"/>
  <c r="AB31"/>
  <c r="AC31"/>
  <c r="AG31"/>
  <c r="AF31"/>
  <c r="AI31"/>
  <c r="AH31"/>
  <c r="AA31"/>
  <c r="BN32"/>
  <c r="B32"/>
  <c r="AB32"/>
  <c r="AC32"/>
  <c r="AG32"/>
  <c r="AF32"/>
  <c r="AI32"/>
  <c r="AH32"/>
  <c r="AA32"/>
  <c r="AV33"/>
  <c r="B33"/>
  <c r="AB33"/>
  <c r="AC33"/>
  <c r="AE33"/>
  <c r="AD33"/>
  <c r="AG33"/>
  <c r="AF33"/>
  <c r="AI33"/>
  <c r="AH33"/>
  <c r="AA33"/>
  <c r="AA34"/>
  <c r="AG36"/>
  <c r="AF36"/>
  <c r="AA36"/>
  <c r="AG37"/>
  <c r="AF37"/>
  <c r="AA37"/>
  <c r="AG38"/>
  <c r="AF38"/>
  <c r="AA38"/>
  <c r="AA39"/>
  <c r="AA45"/>
  <c r="C48"/>
  <c r="AV48"/>
  <c r="B48"/>
  <c r="AB48"/>
  <c r="AC48"/>
  <c r="AE48"/>
  <c r="AD48"/>
  <c r="AG48"/>
  <c r="AF48"/>
  <c r="AI48"/>
  <c r="AH48"/>
  <c r="AA48"/>
  <c r="AE61"/>
  <c r="AD61"/>
  <c r="AA61"/>
  <c r="AE63"/>
  <c r="AD63"/>
  <c r="AG63"/>
  <c r="AF63"/>
  <c r="AI63"/>
  <c r="AH63"/>
  <c r="AA63"/>
  <c r="C65"/>
  <c r="AB65"/>
  <c r="AC65"/>
  <c r="AE65"/>
  <c r="AD65"/>
  <c r="AG65"/>
  <c r="AF65"/>
  <c r="AI65"/>
  <c r="AH65"/>
  <c r="AA65"/>
  <c r="AE66"/>
  <c r="AD66"/>
  <c r="AG66"/>
  <c r="AF66"/>
  <c r="AA66"/>
  <c r="C78"/>
  <c r="AA78"/>
  <c r="AA80"/>
  <c r="AA81"/>
  <c r="AG95"/>
  <c r="AF95"/>
  <c r="AA95"/>
  <c r="AE125"/>
  <c r="AD125"/>
  <c r="AG125"/>
  <c r="AF125"/>
  <c r="L126"/>
  <c r="L129"/>
  <c r="L131"/>
  <c r="L134"/>
  <c r="L125"/>
  <c r="AI125"/>
  <c r="AH125"/>
  <c r="AA125"/>
  <c r="AA126"/>
  <c r="AE127"/>
  <c r="AD127"/>
  <c r="AA127"/>
  <c r="AE129"/>
  <c r="AD129"/>
  <c r="AG129"/>
  <c r="AF129"/>
  <c r="AI129"/>
  <c r="AH129"/>
  <c r="AA129"/>
  <c r="AE131"/>
  <c r="AD131"/>
  <c r="AI131"/>
  <c r="AH131"/>
  <c r="AA131"/>
  <c r="AE132"/>
  <c r="AD132"/>
  <c r="AG132"/>
  <c r="AF132"/>
  <c r="AA132"/>
  <c r="AA134"/>
  <c r="AA136"/>
  <c r="AA98"/>
  <c r="AA1"/>
  <c r="Z1"/>
  <c r="Z2"/>
  <c r="Z3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C171"/>
  <c r="Z146"/>
  <c r="P158"/>
  <c r="P159"/>
  <c r="P160"/>
  <c r="P161"/>
  <c r="K158"/>
  <c r="K159"/>
  <c r="K160"/>
  <c r="K161"/>
  <c r="K157"/>
  <c r="K164"/>
  <c r="K154"/>
  <c r="P157"/>
  <c r="P164"/>
  <c r="L166"/>
  <c r="L167"/>
  <c r="L168"/>
  <c r="EV2"/>
  <c r="DZ2"/>
  <c r="AM178"/>
  <c r="AL179"/>
  <c r="EB2"/>
  <c r="AM179"/>
  <c r="AL180"/>
  <c r="EF2"/>
  <c r="AM180"/>
  <c r="AL181"/>
  <c r="AL182"/>
  <c r="AL183"/>
  <c r="AL184"/>
  <c r="EL2"/>
  <c r="AM184"/>
  <c r="AL185"/>
  <c r="EJ2"/>
  <c r="AM185"/>
  <c r="AL186"/>
  <c r="EP2"/>
  <c r="AM186"/>
  <c r="AL187"/>
  <c r="ER2"/>
  <c r="AM187"/>
  <c r="AL188"/>
  <c r="AL189"/>
  <c r="AM189"/>
  <c r="AL190"/>
  <c r="EX2"/>
  <c r="AM190"/>
  <c r="AL191"/>
  <c r="AM191"/>
  <c r="AL192"/>
  <c r="AU4"/>
  <c r="AR175"/>
  <c r="AS175"/>
  <c r="AO178"/>
  <c r="AO179"/>
  <c r="AO180"/>
  <c r="AO181"/>
  <c r="AO182"/>
  <c r="AO183"/>
  <c r="AO184"/>
  <c r="AO185"/>
  <c r="AO186"/>
  <c r="AO187"/>
  <c r="AO188"/>
  <c r="AO189"/>
  <c r="AO190"/>
  <c r="AO177"/>
  <c r="AO175"/>
  <c r="AW1"/>
  <c r="AQ45"/>
  <c r="AS45"/>
  <c r="C45"/>
  <c r="AI45"/>
  <c r="AH45"/>
  <c r="EZ2"/>
  <c r="AM175"/>
  <c r="AR95"/>
  <c r="EI124"/>
  <c r="DY124"/>
  <c r="EI123"/>
  <c r="DY123"/>
  <c r="EI122"/>
  <c r="DY122"/>
  <c r="EI121"/>
  <c r="DY121"/>
  <c r="EI120"/>
  <c r="DY120"/>
  <c r="EI119"/>
  <c r="DY119"/>
  <c r="EI118"/>
  <c r="DY118"/>
  <c r="EI117"/>
  <c r="DY117"/>
  <c r="EI116"/>
  <c r="DY116"/>
  <c r="EI115"/>
  <c r="DY115"/>
  <c r="EI114"/>
  <c r="DY114"/>
  <c r="EI113"/>
  <c r="DY113"/>
  <c r="EI112"/>
  <c r="DY112"/>
  <c r="DY111"/>
  <c r="DY110"/>
  <c r="EI109"/>
  <c r="DY109"/>
  <c r="EI108"/>
  <c r="DY108"/>
  <c r="EI107"/>
  <c r="DY107"/>
  <c r="EI106"/>
  <c r="DY106"/>
  <c r="EI105"/>
  <c r="DY105"/>
  <c r="EI104"/>
  <c r="DY104"/>
  <c r="DY103"/>
  <c r="DY102"/>
  <c r="EI101"/>
  <c r="DY101"/>
  <c r="EI100"/>
  <c r="DY100"/>
  <c r="DY99"/>
  <c r="DY98"/>
  <c r="DY97"/>
  <c r="DY95"/>
  <c r="DY94"/>
  <c r="DY93"/>
  <c r="DY92"/>
  <c r="DY91"/>
  <c r="DY90"/>
  <c r="DY89"/>
  <c r="DY87"/>
  <c r="DY86"/>
  <c r="DY84"/>
  <c r="DY83"/>
  <c r="DY82"/>
  <c r="DY81"/>
  <c r="DY80"/>
  <c r="DY79"/>
  <c r="DY78"/>
  <c r="DY77"/>
  <c r="DY76"/>
  <c r="DY75"/>
  <c r="DY74"/>
  <c r="DY73"/>
  <c r="DY72"/>
  <c r="DY71"/>
  <c r="DY70"/>
  <c r="DY69"/>
  <c r="DY68"/>
  <c r="DY67"/>
  <c r="DY66"/>
  <c r="DY65"/>
  <c r="DY61"/>
  <c r="DY60"/>
  <c r="DY59"/>
  <c r="DY58"/>
  <c r="DY57"/>
  <c r="DY56"/>
  <c r="DY53"/>
  <c r="DY52"/>
  <c r="EA125"/>
  <c r="EE125"/>
  <c r="EI125"/>
  <c r="EK125"/>
  <c r="EQ125"/>
  <c r="EU125"/>
  <c r="EW125"/>
  <c r="DY125"/>
  <c r="FA125"/>
  <c r="K1"/>
  <c r="DY54"/>
  <c r="DY62"/>
  <c r="DY88"/>
  <c r="AU48"/>
  <c r="AZ48"/>
  <c r="BA48"/>
  <c r="AX48"/>
  <c r="DL48"/>
  <c r="DQ48"/>
  <c r="DM48"/>
  <c r="DR48"/>
  <c r="DN48"/>
  <c r="DS48"/>
  <c r="DO48"/>
  <c r="DT48"/>
  <c r="DP48"/>
  <c r="DU48"/>
  <c r="T48"/>
  <c r="BL178"/>
  <c r="BL179"/>
  <c r="BL180"/>
  <c r="BP180"/>
  <c r="AX4"/>
  <c r="A177"/>
  <c r="A178"/>
  <c r="A179"/>
  <c r="A180"/>
  <c r="A181"/>
  <c r="A182"/>
  <c r="A183"/>
  <c r="B183"/>
  <c r="B182"/>
  <c r="B181"/>
  <c r="B180"/>
  <c r="B179"/>
  <c r="B178"/>
  <c r="C178"/>
  <c r="C179"/>
  <c r="C180"/>
  <c r="C181"/>
  <c r="C182"/>
  <c r="C183"/>
  <c r="CH183"/>
  <c r="B177"/>
  <c r="C177"/>
  <c r="CH177"/>
  <c r="CH178"/>
  <c r="BP177"/>
  <c r="CH179"/>
  <c r="BP178"/>
  <c r="CH180"/>
  <c r="BP179"/>
  <c r="CH181"/>
  <c r="CH182"/>
  <c r="AQ178"/>
  <c r="AQ179"/>
  <c r="AQ180"/>
  <c r="AQ181"/>
  <c r="AQ182"/>
  <c r="AQ183"/>
  <c r="AQ184"/>
  <c r="AQ185"/>
  <c r="AQ186"/>
  <c r="AQ187"/>
  <c r="AQ188"/>
  <c r="AQ189"/>
  <c r="AQ190"/>
  <c r="AQ191"/>
  <c r="AQ192"/>
  <c r="AQ193"/>
  <c r="AQ194"/>
  <c r="AQ195"/>
  <c r="AQ196"/>
  <c r="AO191"/>
  <c r="AO195"/>
  <c r="AO196"/>
  <c r="AR196"/>
  <c r="AV196"/>
  <c r="AR195"/>
  <c r="AR194"/>
  <c r="AR193"/>
  <c r="AR192"/>
  <c r="AR191"/>
  <c r="AR187"/>
  <c r="AQ197"/>
  <c r="AQ198"/>
  <c r="AQ199"/>
  <c r="AQ200"/>
  <c r="AQ201"/>
  <c r="AQ202"/>
  <c r="AQ203"/>
  <c r="AQ204"/>
  <c r="AQ205"/>
  <c r="AQ206"/>
  <c r="AQ207"/>
  <c r="AQ208"/>
  <c r="AQ209"/>
  <c r="AQ210"/>
  <c r="AQ211"/>
  <c r="AQ212"/>
  <c r="AQ213"/>
  <c r="AQ214"/>
  <c r="AQ215"/>
  <c r="AQ216"/>
  <c r="AQ217"/>
  <c r="AQ218"/>
  <c r="AQ219"/>
  <c r="AQ220"/>
  <c r="AQ221"/>
  <c r="AQ222"/>
  <c r="AQ223"/>
  <c r="AQ224"/>
  <c r="AQ225"/>
  <c r="AQ226"/>
  <c r="AQ227"/>
  <c r="AQ228"/>
  <c r="AQ229"/>
  <c r="AQ230"/>
  <c r="AQ231"/>
  <c r="AQ232"/>
  <c r="AQ233"/>
  <c r="AQ234"/>
  <c r="AQ235"/>
  <c r="AQ236"/>
  <c r="AQ237"/>
  <c r="AQ238"/>
  <c r="AQ239"/>
  <c r="AQ240"/>
  <c r="AQ241"/>
  <c r="AQ242"/>
  <c r="AQ243"/>
  <c r="AQ244"/>
  <c r="AQ245"/>
  <c r="AQ246"/>
  <c r="AQ247"/>
  <c r="AQ248"/>
  <c r="AQ249"/>
  <c r="AQ250"/>
  <c r="AQ251"/>
  <c r="AQ252"/>
  <c r="AQ253"/>
  <c r="AQ254"/>
  <c r="AQ255"/>
  <c r="AQ256"/>
  <c r="AQ257"/>
  <c r="AQ258"/>
  <c r="AQ259"/>
  <c r="AQ260"/>
  <c r="AQ261"/>
  <c r="AQ262"/>
  <c r="AQ263"/>
  <c r="AQ264"/>
  <c r="AQ265"/>
  <c r="AQ266"/>
  <c r="AQ267"/>
  <c r="AQ268"/>
  <c r="AQ269"/>
  <c r="AQ270"/>
  <c r="AQ271"/>
  <c r="AQ272"/>
  <c r="AQ273"/>
  <c r="AQ274"/>
  <c r="AQ275"/>
  <c r="AQ276"/>
  <c r="AQ277"/>
  <c r="AQ278"/>
  <c r="AQ279"/>
  <c r="AQ280"/>
  <c r="AQ281"/>
  <c r="AQ282"/>
  <c r="AQ283"/>
  <c r="AQ284"/>
  <c r="AQ285"/>
  <c r="AQ286"/>
  <c r="AQ287"/>
  <c r="AQ288"/>
  <c r="AQ289"/>
  <c r="AQ290"/>
  <c r="AQ291"/>
  <c r="AQ292"/>
  <c r="AQ293"/>
  <c r="AQ294"/>
  <c r="AQ295"/>
  <c r="AQ296"/>
  <c r="AQ297"/>
  <c r="AQ298"/>
  <c r="AQ299"/>
  <c r="AQ300"/>
  <c r="AQ301"/>
  <c r="AQ302"/>
  <c r="AQ303"/>
  <c r="AQ304"/>
  <c r="AQ305"/>
  <c r="AQ306"/>
  <c r="AQ307"/>
  <c r="AQ308"/>
  <c r="AQ309"/>
  <c r="AQ310"/>
  <c r="AQ311"/>
  <c r="AQ312"/>
  <c r="AQ313"/>
  <c r="AQ314"/>
  <c r="AQ315"/>
  <c r="AQ316"/>
  <c r="AQ317"/>
  <c r="AQ318"/>
  <c r="AQ319"/>
  <c r="AQ320"/>
  <c r="AQ321"/>
  <c r="AQ322"/>
  <c r="AQ323"/>
  <c r="AQ324"/>
  <c r="AQ325"/>
  <c r="AQ326"/>
  <c r="AQ327"/>
  <c r="AQ328"/>
  <c r="AQ329"/>
  <c r="AQ330"/>
  <c r="AQ331"/>
  <c r="AQ332"/>
  <c r="AQ333"/>
  <c r="AQ334"/>
  <c r="AQ335"/>
  <c r="AQ336"/>
  <c r="AQ337"/>
  <c r="AQ338"/>
  <c r="AQ339"/>
  <c r="AQ340"/>
  <c r="AQ341"/>
  <c r="AQ342"/>
  <c r="AQ343"/>
  <c r="AQ344"/>
  <c r="AQ345"/>
  <c r="AQ346"/>
  <c r="AQ347"/>
  <c r="AQ348"/>
  <c r="AQ349"/>
  <c r="AQ350"/>
  <c r="AQ351"/>
  <c r="AQ352"/>
  <c r="AQ353"/>
  <c r="AQ354"/>
  <c r="AQ355"/>
  <c r="AQ356"/>
  <c r="AQ357"/>
  <c r="AQ358"/>
  <c r="AQ359"/>
  <c r="AQ360"/>
  <c r="AQ361"/>
  <c r="AQ362"/>
  <c r="AQ363"/>
  <c r="AQ364"/>
  <c r="AQ365"/>
  <c r="AQ366"/>
  <c r="AQ367"/>
  <c r="AQ368"/>
  <c r="AQ369"/>
  <c r="AQ370"/>
  <c r="AQ371"/>
  <c r="AQ372"/>
  <c r="AQ373"/>
  <c r="AQ374"/>
  <c r="AQ375"/>
  <c r="AQ376"/>
  <c r="AQ377"/>
  <c r="AR184"/>
  <c r="AN199"/>
  <c r="AR186"/>
  <c r="AR185"/>
  <c r="AR183"/>
  <c r="AR182"/>
  <c r="AR181"/>
  <c r="AR180"/>
  <c r="AR179"/>
  <c r="AR178"/>
  <c r="AR177"/>
  <c r="AS177"/>
  <c r="AS178"/>
  <c r="AS179"/>
  <c r="AS180"/>
  <c r="AS181"/>
  <c r="AS182"/>
  <c r="AS183"/>
  <c r="AS184"/>
  <c r="AS185"/>
  <c r="AS186"/>
  <c r="AS187"/>
  <c r="AO199"/>
  <c r="AR190"/>
  <c r="AR189"/>
  <c r="AR188"/>
  <c r="AS188"/>
  <c r="AS189"/>
  <c r="AS190"/>
  <c r="AS191"/>
  <c r="AS192"/>
  <c r="AS193"/>
  <c r="AS194"/>
  <c r="AS195"/>
  <c r="AS196"/>
  <c r="AR197"/>
  <c r="AS197"/>
  <c r="AW196"/>
  <c r="AX196"/>
  <c r="AY196"/>
  <c r="AZ196"/>
  <c r="BA196"/>
  <c r="BB196"/>
  <c r="EI110"/>
  <c r="EI102"/>
  <c r="EI98"/>
  <c r="EI95"/>
  <c r="EI97"/>
  <c r="BC196"/>
  <c r="BD196"/>
  <c r="EQ63"/>
  <c r="EQ48"/>
  <c r="EQ40"/>
  <c r="EQ36"/>
  <c r="EQ38"/>
  <c r="EQ37"/>
  <c r="EQ65"/>
  <c r="BE196"/>
  <c r="BF196"/>
  <c r="BG196"/>
  <c r="BH196"/>
  <c r="AU196"/>
  <c r="AT196"/>
  <c r="AV195"/>
  <c r="AW195"/>
  <c r="AX195"/>
  <c r="AY195"/>
  <c r="AZ195"/>
  <c r="BA195"/>
  <c r="BB195"/>
  <c r="BC195"/>
  <c r="BD195"/>
  <c r="BE195"/>
  <c r="BF195"/>
  <c r="BG195"/>
  <c r="BH195"/>
  <c r="AU195"/>
  <c r="AT195"/>
  <c r="AV193"/>
  <c r="AW193"/>
  <c r="AX193"/>
  <c r="AY193"/>
  <c r="AZ193"/>
  <c r="BA193"/>
  <c r="BB193"/>
  <c r="BC193"/>
  <c r="BD193"/>
  <c r="BE193"/>
  <c r="BF193"/>
  <c r="BG193"/>
  <c r="EW33"/>
  <c r="EW48"/>
  <c r="EW40"/>
  <c r="EW36"/>
  <c r="EW34"/>
  <c r="BH193"/>
  <c r="AU193"/>
  <c r="AT193"/>
  <c r="F183"/>
  <c r="BL181"/>
  <c r="BP181"/>
  <c r="A184"/>
  <c r="B184"/>
  <c r="C184"/>
  <c r="CH184"/>
  <c r="AR202"/>
  <c r="AV202"/>
  <c r="AW202"/>
  <c r="AX202"/>
  <c r="AY202"/>
  <c r="AZ202"/>
  <c r="BA202"/>
  <c r="BB202"/>
  <c r="AR198"/>
  <c r="AS198"/>
  <c r="AR199"/>
  <c r="AS199"/>
  <c r="AR200"/>
  <c r="AS200"/>
  <c r="AR201"/>
  <c r="AS201"/>
  <c r="AS202"/>
  <c r="AR203"/>
  <c r="AS203"/>
  <c r="BC202"/>
  <c r="BD202"/>
  <c r="EQ39"/>
  <c r="EQ44"/>
  <c r="EQ42"/>
  <c r="EQ41"/>
  <c r="BE202"/>
  <c r="BF202"/>
  <c r="BG202"/>
  <c r="EW65"/>
  <c r="BH202"/>
  <c r="AU202"/>
  <c r="AT202"/>
  <c r="AV201"/>
  <c r="AW201"/>
  <c r="AX201"/>
  <c r="AY201"/>
  <c r="AZ201"/>
  <c r="BA201"/>
  <c r="BB201"/>
  <c r="BC201"/>
  <c r="BD201"/>
  <c r="BE201"/>
  <c r="BF201"/>
  <c r="BG201"/>
  <c r="BH201"/>
  <c r="AU201"/>
  <c r="AT201"/>
  <c r="AV199"/>
  <c r="AW199"/>
  <c r="AX199"/>
  <c r="AY199"/>
  <c r="AZ199"/>
  <c r="BA199"/>
  <c r="BB199"/>
  <c r="BC199"/>
  <c r="BD199"/>
  <c r="BE199"/>
  <c r="BF199"/>
  <c r="BG199"/>
  <c r="BH199"/>
  <c r="AU199"/>
  <c r="AT199"/>
  <c r="F184"/>
  <c r="A185"/>
  <c r="B185"/>
  <c r="C185"/>
  <c r="F185"/>
  <c r="A186"/>
  <c r="B186"/>
  <c r="C186"/>
  <c r="F186"/>
  <c r="DY48"/>
  <c r="DY46"/>
  <c r="DY47"/>
  <c r="AV179"/>
  <c r="AW179"/>
  <c r="AX179"/>
  <c r="AY179"/>
  <c r="AZ179"/>
  <c r="BA179"/>
  <c r="BB179"/>
  <c r="BC179"/>
  <c r="BD179"/>
  <c r="BE179"/>
  <c r="BF179"/>
  <c r="BG179"/>
  <c r="BH179"/>
  <c r="AU179"/>
  <c r="AT179"/>
  <c r="I179"/>
  <c r="DY63"/>
  <c r="EA63"/>
  <c r="EA94"/>
  <c r="EA79"/>
  <c r="EA71"/>
  <c r="EA67"/>
  <c r="EA65"/>
  <c r="AV178"/>
  <c r="AW178"/>
  <c r="AX178"/>
  <c r="AY178"/>
  <c r="AZ178"/>
  <c r="BA178"/>
  <c r="BB178"/>
  <c r="BC178"/>
  <c r="BD178"/>
  <c r="BE178"/>
  <c r="BF178"/>
  <c r="BG178"/>
  <c r="BH178"/>
  <c r="AU178"/>
  <c r="AT178"/>
  <c r="AV185"/>
  <c r="EA95"/>
  <c r="EA80"/>
  <c r="EA72"/>
  <c r="EA68"/>
  <c r="EA66"/>
  <c r="AW185"/>
  <c r="AX185"/>
  <c r="AY185"/>
  <c r="AZ185"/>
  <c r="BA185"/>
  <c r="BB185"/>
  <c r="BC185"/>
  <c r="BD185"/>
  <c r="BE185"/>
  <c r="BF185"/>
  <c r="BG185"/>
  <c r="BH185"/>
  <c r="AU185"/>
  <c r="AT185"/>
  <c r="I180"/>
  <c r="AV184"/>
  <c r="AW184"/>
  <c r="AX184"/>
  <c r="AY184"/>
  <c r="AZ184"/>
  <c r="BA184"/>
  <c r="BB184"/>
  <c r="BC184"/>
  <c r="BD184"/>
  <c r="BE184"/>
  <c r="BF184"/>
  <c r="BG184"/>
  <c r="BH184"/>
  <c r="AU184"/>
  <c r="AT184"/>
  <c r="AV191"/>
  <c r="AW191"/>
  <c r="AX191"/>
  <c r="AY191"/>
  <c r="AZ191"/>
  <c r="BA191"/>
  <c r="BB191"/>
  <c r="BC191"/>
  <c r="BD191"/>
  <c r="BE191"/>
  <c r="BF191"/>
  <c r="BG191"/>
  <c r="BH191"/>
  <c r="AU191"/>
  <c r="AT191"/>
  <c r="AV183"/>
  <c r="AW183"/>
  <c r="AX183"/>
  <c r="AY183"/>
  <c r="AZ183"/>
  <c r="BA183"/>
  <c r="BB183"/>
  <c r="BC183"/>
  <c r="BD183"/>
  <c r="BE183"/>
  <c r="BF183"/>
  <c r="BG183"/>
  <c r="BH183"/>
  <c r="AU183"/>
  <c r="AT183"/>
  <c r="I181"/>
  <c r="AV190"/>
  <c r="AW190"/>
  <c r="AX190"/>
  <c r="AY190"/>
  <c r="AZ190"/>
  <c r="BA190"/>
  <c r="BB190"/>
  <c r="BC190"/>
  <c r="BD190"/>
  <c r="BE190"/>
  <c r="BF190"/>
  <c r="BG190"/>
  <c r="BH190"/>
  <c r="AU190"/>
  <c r="AT190"/>
  <c r="AV188"/>
  <c r="AW188"/>
  <c r="AX188"/>
  <c r="AY188"/>
  <c r="AZ188"/>
  <c r="BA188"/>
  <c r="BB188"/>
  <c r="BC188"/>
  <c r="BD188"/>
  <c r="BE188"/>
  <c r="BF188"/>
  <c r="BG188"/>
  <c r="BH188"/>
  <c r="AU188"/>
  <c r="AT188"/>
  <c r="I182"/>
  <c r="AV197"/>
  <c r="AW197"/>
  <c r="AX197"/>
  <c r="AY197"/>
  <c r="AZ197"/>
  <c r="BA197"/>
  <c r="BB197"/>
  <c r="BC197"/>
  <c r="BD197"/>
  <c r="BE197"/>
  <c r="BF197"/>
  <c r="BG197"/>
  <c r="BH197"/>
  <c r="AU197"/>
  <c r="AT197"/>
  <c r="AV194"/>
  <c r="AW194"/>
  <c r="AX194"/>
  <c r="AY194"/>
  <c r="AZ194"/>
  <c r="BA194"/>
  <c r="BB194"/>
  <c r="BC194"/>
  <c r="BD194"/>
  <c r="BE194"/>
  <c r="BF194"/>
  <c r="BG194"/>
  <c r="EW31"/>
  <c r="EW32"/>
  <c r="BH194"/>
  <c r="AU194"/>
  <c r="AT194"/>
  <c r="I183"/>
  <c r="AV203"/>
  <c r="AW203"/>
  <c r="AX203"/>
  <c r="AY203"/>
  <c r="AZ203"/>
  <c r="BA203"/>
  <c r="BB203"/>
  <c r="AR204"/>
  <c r="AS204"/>
  <c r="BC203"/>
  <c r="BD203"/>
  <c r="BE203"/>
  <c r="BF203"/>
  <c r="BG203"/>
  <c r="BH203"/>
  <c r="AU203"/>
  <c r="AT203"/>
  <c r="AV200"/>
  <c r="AW200"/>
  <c r="AX200"/>
  <c r="AY200"/>
  <c r="AZ200"/>
  <c r="BA200"/>
  <c r="BB200"/>
  <c r="BC200"/>
  <c r="BD200"/>
  <c r="BE200"/>
  <c r="BF200"/>
  <c r="BG200"/>
  <c r="BH200"/>
  <c r="AU200"/>
  <c r="AT200"/>
  <c r="I184"/>
  <c r="I185"/>
  <c r="I186"/>
  <c r="AV180"/>
  <c r="AW180"/>
  <c r="AX180"/>
  <c r="AY180"/>
  <c r="AZ180"/>
  <c r="BA180"/>
  <c r="BB180"/>
  <c r="BC180"/>
  <c r="BD180"/>
  <c r="BE180"/>
  <c r="BF180"/>
  <c r="BG180"/>
  <c r="BH180"/>
  <c r="AU180"/>
  <c r="AT180"/>
  <c r="K179"/>
  <c r="AV186"/>
  <c r="AW186"/>
  <c r="AX186"/>
  <c r="AY186"/>
  <c r="AZ186"/>
  <c r="BA186"/>
  <c r="BB186"/>
  <c r="BC186"/>
  <c r="BD186"/>
  <c r="BE186"/>
  <c r="BF186"/>
  <c r="BG186"/>
  <c r="BH186"/>
  <c r="AU186"/>
  <c r="AT186"/>
  <c r="K180"/>
  <c r="AV192"/>
  <c r="AW192"/>
  <c r="AX192"/>
  <c r="AY192"/>
  <c r="AZ192"/>
  <c r="BA192"/>
  <c r="BB192"/>
  <c r="BC192"/>
  <c r="BD192"/>
  <c r="BE192"/>
  <c r="BF192"/>
  <c r="BG192"/>
  <c r="BH192"/>
  <c r="AU192"/>
  <c r="AT192"/>
  <c r="K181"/>
  <c r="AV189"/>
  <c r="AW189"/>
  <c r="AX189"/>
  <c r="AY189"/>
  <c r="AZ189"/>
  <c r="BA189"/>
  <c r="BB189"/>
  <c r="BC189"/>
  <c r="BD189"/>
  <c r="BE189"/>
  <c r="BF189"/>
  <c r="BG189"/>
  <c r="BH189"/>
  <c r="AU189"/>
  <c r="AT189"/>
  <c r="K182"/>
  <c r="AV198"/>
  <c r="AW198"/>
  <c r="AX198"/>
  <c r="AY198"/>
  <c r="AZ198"/>
  <c r="BA198"/>
  <c r="BB198"/>
  <c r="BC198"/>
  <c r="BD198"/>
  <c r="BE198"/>
  <c r="BF198"/>
  <c r="BG198"/>
  <c r="BH198"/>
  <c r="AU198"/>
  <c r="AT198"/>
  <c r="K183"/>
  <c r="AV204"/>
  <c r="AW204"/>
  <c r="AX204"/>
  <c r="AY204"/>
  <c r="AZ204"/>
  <c r="BA204"/>
  <c r="BB204"/>
  <c r="AR205"/>
  <c r="AS205"/>
  <c r="BC204"/>
  <c r="BD204"/>
  <c r="BE204"/>
  <c r="BF204"/>
  <c r="BG204"/>
  <c r="EW63"/>
  <c r="BH204"/>
  <c r="AU204"/>
  <c r="AT204"/>
  <c r="K184"/>
  <c r="K185"/>
  <c r="K186"/>
  <c r="AV181"/>
  <c r="AW181"/>
  <c r="AX181"/>
  <c r="AY181"/>
  <c r="AZ181"/>
  <c r="BA181"/>
  <c r="BB181"/>
  <c r="BC181"/>
  <c r="BD181"/>
  <c r="BE181"/>
  <c r="BF181"/>
  <c r="BG181"/>
  <c r="BH181"/>
  <c r="AU181"/>
  <c r="AT181"/>
  <c r="M179"/>
  <c r="DY55"/>
  <c r="DY51"/>
  <c r="DY49"/>
  <c r="AV187"/>
  <c r="AW187"/>
  <c r="AX187"/>
  <c r="AY187"/>
  <c r="AZ187"/>
  <c r="BA187"/>
  <c r="BB187"/>
  <c r="BC187"/>
  <c r="BD187"/>
  <c r="BE187"/>
  <c r="BF187"/>
  <c r="BG187"/>
  <c r="BH187"/>
  <c r="AU187"/>
  <c r="AT187"/>
  <c r="M180"/>
  <c r="M181"/>
  <c r="M182"/>
  <c r="M183"/>
  <c r="AV205"/>
  <c r="AW205"/>
  <c r="AX205"/>
  <c r="AY205"/>
  <c r="AZ205"/>
  <c r="BA205"/>
  <c r="BB205"/>
  <c r="BC205"/>
  <c r="BD205"/>
  <c r="AR206"/>
  <c r="AS206"/>
  <c r="BE205"/>
  <c r="BF205"/>
  <c r="BG205"/>
  <c r="BH205"/>
  <c r="AU205"/>
  <c r="AT205"/>
  <c r="M184"/>
  <c r="M185"/>
  <c r="M186"/>
  <c r="AV182"/>
  <c r="AW182"/>
  <c r="AX182"/>
  <c r="AY182"/>
  <c r="AZ182"/>
  <c r="BA182"/>
  <c r="BB182"/>
  <c r="BC182"/>
  <c r="BD182"/>
  <c r="BE182"/>
  <c r="BF182"/>
  <c r="BG182"/>
  <c r="BH182"/>
  <c r="AU182"/>
  <c r="AT182"/>
  <c r="P179"/>
  <c r="P180"/>
  <c r="P181"/>
  <c r="P182"/>
  <c r="P183"/>
  <c r="AV206"/>
  <c r="AW206"/>
  <c r="AX206"/>
  <c r="AY206"/>
  <c r="AZ206"/>
  <c r="BA206"/>
  <c r="BB206"/>
  <c r="BC206"/>
  <c r="BD206"/>
  <c r="BE206"/>
  <c r="BF206"/>
  <c r="BG206"/>
  <c r="AR207"/>
  <c r="AS207"/>
  <c r="EW30"/>
  <c r="BH206"/>
  <c r="AU206"/>
  <c r="AT206"/>
  <c r="P184"/>
  <c r="P185"/>
  <c r="AR210"/>
  <c r="AV210"/>
  <c r="AW210"/>
  <c r="AX210"/>
  <c r="AY210"/>
  <c r="AZ210"/>
  <c r="BA210"/>
  <c r="BB210"/>
  <c r="BC210"/>
  <c r="BD210"/>
  <c r="BE210"/>
  <c r="BF210"/>
  <c r="BG210"/>
  <c r="BH210"/>
  <c r="AU210"/>
  <c r="AT210"/>
  <c r="AR211"/>
  <c r="AV211"/>
  <c r="AW211"/>
  <c r="AX211"/>
  <c r="AY211"/>
  <c r="AZ211"/>
  <c r="BA211"/>
  <c r="BB211"/>
  <c r="BC211"/>
  <c r="BD211"/>
  <c r="BE211"/>
  <c r="BF211"/>
  <c r="BG211"/>
  <c r="BH211"/>
  <c r="AU211"/>
  <c r="AT211"/>
  <c r="P186"/>
  <c r="AR216"/>
  <c r="AV216"/>
  <c r="AW216"/>
  <c r="AX216"/>
  <c r="AY216"/>
  <c r="AZ216"/>
  <c r="BA216"/>
  <c r="BB216"/>
  <c r="BC216"/>
  <c r="BD216"/>
  <c r="BE216"/>
  <c r="BF216"/>
  <c r="BG216"/>
  <c r="BH216"/>
  <c r="AU216"/>
  <c r="AT216"/>
  <c r="I48"/>
  <c r="BO48"/>
  <c r="A187"/>
  <c r="B187"/>
  <c r="C187"/>
  <c r="F187"/>
  <c r="AR217"/>
  <c r="AV217"/>
  <c r="AW217"/>
  <c r="AX217"/>
  <c r="AY217"/>
  <c r="AZ217"/>
  <c r="BA217"/>
  <c r="BB217"/>
  <c r="BC217"/>
  <c r="BD217"/>
  <c r="BE217"/>
  <c r="BF217"/>
  <c r="BG217"/>
  <c r="BH217"/>
  <c r="AU217"/>
  <c r="AT217"/>
  <c r="A188"/>
  <c r="B188"/>
  <c r="C188"/>
  <c r="F188"/>
  <c r="A189"/>
  <c r="B189"/>
  <c r="C189"/>
  <c r="F189"/>
  <c r="A190"/>
  <c r="B190"/>
  <c r="C190"/>
  <c r="F190"/>
  <c r="AR232"/>
  <c r="AV232"/>
  <c r="AW232"/>
  <c r="AX232"/>
  <c r="AY232"/>
  <c r="AZ232"/>
  <c r="BA232"/>
  <c r="BB232"/>
  <c r="BC232"/>
  <c r="BD232"/>
  <c r="BE232"/>
  <c r="BF232"/>
  <c r="BG232"/>
  <c r="BH232"/>
  <c r="AU232"/>
  <c r="AT232"/>
  <c r="A191"/>
  <c r="B191"/>
  <c r="C191"/>
  <c r="F191"/>
  <c r="A192"/>
  <c r="B192"/>
  <c r="C192"/>
  <c r="F192"/>
  <c r="A193"/>
  <c r="B193"/>
  <c r="C193"/>
  <c r="F193"/>
  <c r="A194"/>
  <c r="B194"/>
  <c r="C194"/>
  <c r="F194"/>
  <c r="I178"/>
  <c r="I187"/>
  <c r="AR218"/>
  <c r="AV218"/>
  <c r="AW218"/>
  <c r="AX218"/>
  <c r="AY218"/>
  <c r="AZ218"/>
  <c r="BA218"/>
  <c r="BB218"/>
  <c r="BC218"/>
  <c r="BD218"/>
  <c r="BE218"/>
  <c r="BF218"/>
  <c r="BG218"/>
  <c r="BH218"/>
  <c r="AU218"/>
  <c r="AT218"/>
  <c r="I188"/>
  <c r="I189"/>
  <c r="I190"/>
  <c r="AR233"/>
  <c r="AV233"/>
  <c r="AW233"/>
  <c r="AX233"/>
  <c r="AY233"/>
  <c r="AZ233"/>
  <c r="BA233"/>
  <c r="BB233"/>
  <c r="BC233"/>
  <c r="BD233"/>
  <c r="BE233"/>
  <c r="BF233"/>
  <c r="BG233"/>
  <c r="BH233"/>
  <c r="AU233"/>
  <c r="AT233"/>
  <c r="I191"/>
  <c r="AR238"/>
  <c r="AV238"/>
  <c r="AW238"/>
  <c r="AX238"/>
  <c r="AY238"/>
  <c r="AZ238"/>
  <c r="BA238"/>
  <c r="BB238"/>
  <c r="BC238"/>
  <c r="BD238"/>
  <c r="BE238"/>
  <c r="BF238"/>
  <c r="BG238"/>
  <c r="BH238"/>
  <c r="AU238"/>
  <c r="AT238"/>
  <c r="I192"/>
  <c r="I193"/>
  <c r="I194"/>
  <c r="K178"/>
  <c r="K187"/>
  <c r="K188"/>
  <c r="AR224"/>
  <c r="AV224"/>
  <c r="AW224"/>
  <c r="AX224"/>
  <c r="AY224"/>
  <c r="AZ224"/>
  <c r="BA224"/>
  <c r="BB224"/>
  <c r="BC224"/>
  <c r="BD224"/>
  <c r="BE224"/>
  <c r="BF224"/>
  <c r="BG224"/>
  <c r="BH224"/>
  <c r="AU224"/>
  <c r="AT224"/>
  <c r="K189"/>
  <c r="K190"/>
  <c r="AR234"/>
  <c r="AV234"/>
  <c r="AW234"/>
  <c r="AX234"/>
  <c r="AY234"/>
  <c r="AZ234"/>
  <c r="BA234"/>
  <c r="BB234"/>
  <c r="BC234"/>
  <c r="BD234"/>
  <c r="BE234"/>
  <c r="BF234"/>
  <c r="BG234"/>
  <c r="BH234"/>
  <c r="AU234"/>
  <c r="AT234"/>
  <c r="K191"/>
  <c r="AR252"/>
  <c r="AV252"/>
  <c r="AW252"/>
  <c r="AX252"/>
  <c r="AY252"/>
  <c r="AZ252"/>
  <c r="BA252"/>
  <c r="BB252"/>
  <c r="BC252"/>
  <c r="BD252"/>
  <c r="BE252"/>
  <c r="BF252"/>
  <c r="BG252"/>
  <c r="BH252"/>
  <c r="AU252"/>
  <c r="AT252"/>
  <c r="AR239"/>
  <c r="AV239"/>
  <c r="AW239"/>
  <c r="AX239"/>
  <c r="AY239"/>
  <c r="AZ239"/>
  <c r="BA239"/>
  <c r="BB239"/>
  <c r="BC239"/>
  <c r="BD239"/>
  <c r="BE239"/>
  <c r="BF239"/>
  <c r="BG239"/>
  <c r="BH239"/>
  <c r="AU239"/>
  <c r="AT239"/>
  <c r="K192"/>
  <c r="AR244"/>
  <c r="AV244"/>
  <c r="AW244"/>
  <c r="AX244"/>
  <c r="AY244"/>
  <c r="AZ244"/>
  <c r="BA244"/>
  <c r="BB244"/>
  <c r="BC244"/>
  <c r="BD244"/>
  <c r="BE244"/>
  <c r="BF244"/>
  <c r="BG244"/>
  <c r="BH244"/>
  <c r="AU244"/>
  <c r="AT244"/>
  <c r="K193"/>
  <c r="K194"/>
  <c r="M178"/>
  <c r="M187"/>
  <c r="AR222"/>
  <c r="AV222"/>
  <c r="AW222"/>
  <c r="AX222"/>
  <c r="AY222"/>
  <c r="AZ222"/>
  <c r="BA222"/>
  <c r="BB222"/>
  <c r="BC222"/>
  <c r="BD222"/>
  <c r="BE222"/>
  <c r="BF222"/>
  <c r="BG222"/>
  <c r="BH222"/>
  <c r="AU222"/>
  <c r="AT222"/>
  <c r="AR229"/>
  <c r="AV229"/>
  <c r="AW229"/>
  <c r="AX229"/>
  <c r="AY229"/>
  <c r="AZ229"/>
  <c r="BA229"/>
  <c r="BB229"/>
  <c r="BC229"/>
  <c r="BD229"/>
  <c r="BE229"/>
  <c r="BF229"/>
  <c r="BG229"/>
  <c r="BH229"/>
  <c r="AU229"/>
  <c r="AT229"/>
  <c r="AR220"/>
  <c r="AV220"/>
  <c r="AW220"/>
  <c r="AX220"/>
  <c r="AY220"/>
  <c r="AZ220"/>
  <c r="BA220"/>
  <c r="BB220"/>
  <c r="BC220"/>
  <c r="BD220"/>
  <c r="BE220"/>
  <c r="BF220"/>
  <c r="BG220"/>
  <c r="BH220"/>
  <c r="AU220"/>
  <c r="AT220"/>
  <c r="M188"/>
  <c r="AR227"/>
  <c r="AV227"/>
  <c r="AW227"/>
  <c r="AX227"/>
  <c r="AY227"/>
  <c r="AZ227"/>
  <c r="BA227"/>
  <c r="BB227"/>
  <c r="BC227"/>
  <c r="BD227"/>
  <c r="BE227"/>
  <c r="BF227"/>
  <c r="BG227"/>
  <c r="BH227"/>
  <c r="AU227"/>
  <c r="AT227"/>
  <c r="M189"/>
  <c r="M190"/>
  <c r="AR247"/>
  <c r="AV247"/>
  <c r="AW247"/>
  <c r="AX247"/>
  <c r="AY247"/>
  <c r="AZ247"/>
  <c r="BA247"/>
  <c r="BB247"/>
  <c r="BC247"/>
  <c r="BD247"/>
  <c r="BE247"/>
  <c r="BF247"/>
  <c r="BG247"/>
  <c r="BH247"/>
  <c r="AU247"/>
  <c r="AT247"/>
  <c r="AR235"/>
  <c r="AV235"/>
  <c r="AW235"/>
  <c r="AX235"/>
  <c r="AY235"/>
  <c r="AZ235"/>
  <c r="BA235"/>
  <c r="BB235"/>
  <c r="BC235"/>
  <c r="BD235"/>
  <c r="BE235"/>
  <c r="BF235"/>
  <c r="BG235"/>
  <c r="BH235"/>
  <c r="AU235"/>
  <c r="AT235"/>
  <c r="M191"/>
  <c r="AR253"/>
  <c r="AV253"/>
  <c r="AW253"/>
  <c r="AX253"/>
  <c r="AY253"/>
  <c r="AZ253"/>
  <c r="BA253"/>
  <c r="BB253"/>
  <c r="BC253"/>
  <c r="BD253"/>
  <c r="BE253"/>
  <c r="BF253"/>
  <c r="BG253"/>
  <c r="BH253"/>
  <c r="AU253"/>
  <c r="AT253"/>
  <c r="AR240"/>
  <c r="AV240"/>
  <c r="AW240"/>
  <c r="AX240"/>
  <c r="AY240"/>
  <c r="AZ240"/>
  <c r="BA240"/>
  <c r="BB240"/>
  <c r="BC240"/>
  <c r="BD240"/>
  <c r="BE240"/>
  <c r="BF240"/>
  <c r="BG240"/>
  <c r="BH240"/>
  <c r="AU240"/>
  <c r="AT240"/>
  <c r="M192"/>
  <c r="AR245"/>
  <c r="AV245"/>
  <c r="AW245"/>
  <c r="AX245"/>
  <c r="AY245"/>
  <c r="AZ245"/>
  <c r="BA245"/>
  <c r="BB245"/>
  <c r="BC245"/>
  <c r="BD245"/>
  <c r="BE245"/>
  <c r="BF245"/>
  <c r="BG245"/>
  <c r="BH245"/>
  <c r="AU245"/>
  <c r="AT245"/>
  <c r="M193"/>
  <c r="AR250"/>
  <c r="AV250"/>
  <c r="AW250"/>
  <c r="AX250"/>
  <c r="AY250"/>
  <c r="AZ250"/>
  <c r="BA250"/>
  <c r="BB250"/>
  <c r="BC250"/>
  <c r="BD250"/>
  <c r="BE250"/>
  <c r="BF250"/>
  <c r="BG250"/>
  <c r="BH250"/>
  <c r="AU250"/>
  <c r="AT250"/>
  <c r="M194"/>
  <c r="P178"/>
  <c r="P187"/>
  <c r="AR223"/>
  <c r="AV223"/>
  <c r="AW223"/>
  <c r="AX223"/>
  <c r="AY223"/>
  <c r="AZ223"/>
  <c r="BA223"/>
  <c r="BB223"/>
  <c r="BC223"/>
  <c r="BD223"/>
  <c r="BE223"/>
  <c r="BF223"/>
  <c r="BG223"/>
  <c r="BH223"/>
  <c r="AU223"/>
  <c r="AT223"/>
  <c r="AR230"/>
  <c r="AV230"/>
  <c r="AW230"/>
  <c r="AX230"/>
  <c r="AY230"/>
  <c r="AZ230"/>
  <c r="BA230"/>
  <c r="BB230"/>
  <c r="BC230"/>
  <c r="BD230"/>
  <c r="BE230"/>
  <c r="BF230"/>
  <c r="BG230"/>
  <c r="BH230"/>
  <c r="AU230"/>
  <c r="AT230"/>
  <c r="AR221"/>
  <c r="AV221"/>
  <c r="AW221"/>
  <c r="AX221"/>
  <c r="AY221"/>
  <c r="AZ221"/>
  <c r="BA221"/>
  <c r="BB221"/>
  <c r="BC221"/>
  <c r="BD221"/>
  <c r="BE221"/>
  <c r="BF221"/>
  <c r="BG221"/>
  <c r="BH221"/>
  <c r="AU221"/>
  <c r="AT221"/>
  <c r="P188"/>
  <c r="AR228"/>
  <c r="AV228"/>
  <c r="AW228"/>
  <c r="AX228"/>
  <c r="AY228"/>
  <c r="AZ228"/>
  <c r="BA228"/>
  <c r="BB228"/>
  <c r="BC228"/>
  <c r="BD228"/>
  <c r="BE228"/>
  <c r="BF228"/>
  <c r="BG228"/>
  <c r="BH228"/>
  <c r="AU228"/>
  <c r="AT228"/>
  <c r="AR226"/>
  <c r="AV226"/>
  <c r="AW226"/>
  <c r="AX226"/>
  <c r="AY226"/>
  <c r="AZ226"/>
  <c r="BA226"/>
  <c r="BB226"/>
  <c r="BC226"/>
  <c r="BD226"/>
  <c r="BE226"/>
  <c r="BF226"/>
  <c r="BG226"/>
  <c r="BH226"/>
  <c r="AU226"/>
  <c r="AT226"/>
  <c r="P189"/>
  <c r="AR242"/>
  <c r="AV242"/>
  <c r="AW242"/>
  <c r="AX242"/>
  <c r="AY242"/>
  <c r="AZ242"/>
  <c r="BA242"/>
  <c r="BB242"/>
  <c r="BC242"/>
  <c r="BD242"/>
  <c r="BE242"/>
  <c r="BF242"/>
  <c r="BG242"/>
  <c r="BH242"/>
  <c r="AU242"/>
  <c r="AT242"/>
  <c r="P190"/>
  <c r="AR248"/>
  <c r="AV248"/>
  <c r="AW248"/>
  <c r="AX248"/>
  <c r="AY248"/>
  <c r="AZ248"/>
  <c r="BA248"/>
  <c r="BB248"/>
  <c r="BC248"/>
  <c r="BD248"/>
  <c r="BE248"/>
  <c r="BF248"/>
  <c r="BG248"/>
  <c r="BH248"/>
  <c r="AU248"/>
  <c r="AT248"/>
  <c r="AR236"/>
  <c r="AV236"/>
  <c r="AW236"/>
  <c r="AX236"/>
  <c r="AY236"/>
  <c r="AZ236"/>
  <c r="BA236"/>
  <c r="BB236"/>
  <c r="BC236"/>
  <c r="BD236"/>
  <c r="BE236"/>
  <c r="BF236"/>
  <c r="BG236"/>
  <c r="BH236"/>
  <c r="AU236"/>
  <c r="AT236"/>
  <c r="P191"/>
  <c r="AR254"/>
  <c r="AV254"/>
  <c r="AW254"/>
  <c r="AX254"/>
  <c r="AY254"/>
  <c r="AZ254"/>
  <c r="BA254"/>
  <c r="BB254"/>
  <c r="BC254"/>
  <c r="BD254"/>
  <c r="BE254"/>
  <c r="BF254"/>
  <c r="BG254"/>
  <c r="BH254"/>
  <c r="AU254"/>
  <c r="AT254"/>
  <c r="AR241"/>
  <c r="AV241"/>
  <c r="AW241"/>
  <c r="AX241"/>
  <c r="AY241"/>
  <c r="AZ241"/>
  <c r="BA241"/>
  <c r="BB241"/>
  <c r="BC241"/>
  <c r="BD241"/>
  <c r="BE241"/>
  <c r="BF241"/>
  <c r="BG241"/>
  <c r="BH241"/>
  <c r="AU241"/>
  <c r="AT241"/>
  <c r="P192"/>
  <c r="AR246"/>
  <c r="AV246"/>
  <c r="AW246"/>
  <c r="AX246"/>
  <c r="AY246"/>
  <c r="AZ246"/>
  <c r="BA246"/>
  <c r="BB246"/>
  <c r="BC246"/>
  <c r="BD246"/>
  <c r="BE246"/>
  <c r="BF246"/>
  <c r="BG246"/>
  <c r="BH246"/>
  <c r="AU246"/>
  <c r="AT246"/>
  <c r="P193"/>
  <c r="AR251"/>
  <c r="AV251"/>
  <c r="AW251"/>
  <c r="AX251"/>
  <c r="AY251"/>
  <c r="AZ251"/>
  <c r="BA251"/>
  <c r="BB251"/>
  <c r="BC251"/>
  <c r="BD251"/>
  <c r="BE251"/>
  <c r="BF251"/>
  <c r="BG251"/>
  <c r="BH251"/>
  <c r="AU251"/>
  <c r="AT251"/>
  <c r="P194"/>
  <c r="AR256"/>
  <c r="AV256"/>
  <c r="AW256"/>
  <c r="AX256"/>
  <c r="AY256"/>
  <c r="AZ256"/>
  <c r="BA256"/>
  <c r="BB256"/>
  <c r="BC256"/>
  <c r="BD256"/>
  <c r="BE256"/>
  <c r="BF256"/>
  <c r="BG256"/>
  <c r="BH256"/>
  <c r="AU256"/>
  <c r="AT256"/>
  <c r="BN48"/>
  <c r="AV177"/>
  <c r="AW177"/>
  <c r="AX177"/>
  <c r="AY177"/>
  <c r="AZ177"/>
  <c r="BA177"/>
  <c r="BB177"/>
  <c r="BC177"/>
  <c r="BD177"/>
  <c r="BE177"/>
  <c r="BF177"/>
  <c r="BG177"/>
  <c r="BH177"/>
  <c r="AU177"/>
  <c r="AT177"/>
  <c r="F180"/>
  <c r="DY50"/>
  <c r="F181"/>
  <c r="F182"/>
  <c r="BP12"/>
  <c r="BX12"/>
  <c r="BV12"/>
  <c r="BT12"/>
  <c r="BR12"/>
  <c r="BN12"/>
  <c r="BL12"/>
  <c r="BK12"/>
  <c r="C61"/>
  <c r="DL47"/>
  <c r="DQ47"/>
  <c r="DM47"/>
  <c r="DR47"/>
  <c r="DN47"/>
  <c r="DS47"/>
  <c r="DO47"/>
  <c r="DT47"/>
  <c r="DP47"/>
  <c r="DU47"/>
  <c r="T47"/>
  <c r="T80"/>
  <c r="T81"/>
  <c r="T84"/>
  <c r="T86"/>
  <c r="AU47"/>
  <c r="AX47"/>
  <c r="AZ47"/>
  <c r="BA47"/>
  <c r="DL46"/>
  <c r="DQ46"/>
  <c r="DM46"/>
  <c r="DR46"/>
  <c r="DN46"/>
  <c r="DS46"/>
  <c r="DO46"/>
  <c r="DT46"/>
  <c r="DP46"/>
  <c r="DU46"/>
  <c r="T46"/>
  <c r="AU46"/>
  <c r="AX46"/>
  <c r="AZ46"/>
  <c r="BA46"/>
  <c r="EW124"/>
  <c r="EW123"/>
  <c r="EW122"/>
  <c r="EW121"/>
  <c r="EW120"/>
  <c r="EW119"/>
  <c r="EW118"/>
  <c r="EW117"/>
  <c r="EW116"/>
  <c r="EW115"/>
  <c r="EW114"/>
  <c r="EW113"/>
  <c r="EW112"/>
  <c r="EW111"/>
  <c r="EW110"/>
  <c r="EW109"/>
  <c r="EW108"/>
  <c r="EW107"/>
  <c r="EW106"/>
  <c r="EW105"/>
  <c r="EW104"/>
  <c r="EW103"/>
  <c r="EW102"/>
  <c r="EW101"/>
  <c r="EW100"/>
  <c r="EW99"/>
  <c r="EW98"/>
  <c r="EW97"/>
  <c r="EW95"/>
  <c r="EW94"/>
  <c r="EW93"/>
  <c r="EW92"/>
  <c r="EW91"/>
  <c r="EW90"/>
  <c r="EW89"/>
  <c r="EW87"/>
  <c r="EW86"/>
  <c r="EW84"/>
  <c r="EW83"/>
  <c r="EW82"/>
  <c r="EW81"/>
  <c r="EW80"/>
  <c r="EW79"/>
  <c r="EW78"/>
  <c r="EW77"/>
  <c r="EW76"/>
  <c r="EW75"/>
  <c r="EW74"/>
  <c r="EW73"/>
  <c r="EW72"/>
  <c r="EW71"/>
  <c r="EW70"/>
  <c r="EW69"/>
  <c r="EW68"/>
  <c r="EW67"/>
  <c r="EW66"/>
  <c r="EW61"/>
  <c r="EW60"/>
  <c r="EW59"/>
  <c r="EW58"/>
  <c r="EW57"/>
  <c r="EW56"/>
  <c r="EW55"/>
  <c r="EW54"/>
  <c r="EW53"/>
  <c r="EW52"/>
  <c r="EW51"/>
  <c r="EW50"/>
  <c r="EW46"/>
  <c r="EE124"/>
  <c r="EA124"/>
  <c r="EE123"/>
  <c r="EA123"/>
  <c r="EE122"/>
  <c r="EA122"/>
  <c r="EE121"/>
  <c r="EA121"/>
  <c r="EE120"/>
  <c r="EA120"/>
  <c r="EE119"/>
  <c r="EA119"/>
  <c r="EE118"/>
  <c r="EA118"/>
  <c r="EE117"/>
  <c r="EA117"/>
  <c r="EE116"/>
  <c r="EA116"/>
  <c r="EE115"/>
  <c r="EA115"/>
  <c r="EE114"/>
  <c r="EA114"/>
  <c r="EE113"/>
  <c r="EA113"/>
  <c r="EE112"/>
  <c r="EA112"/>
  <c r="EE111"/>
  <c r="EA111"/>
  <c r="EE110"/>
  <c r="EA110"/>
  <c r="EE109"/>
  <c r="EA109"/>
  <c r="EE108"/>
  <c r="EA108"/>
  <c r="EE107"/>
  <c r="EA107"/>
  <c r="EE106"/>
  <c r="EA106"/>
  <c r="EE105"/>
  <c r="EA105"/>
  <c r="EE104"/>
  <c r="EA104"/>
  <c r="EE103"/>
  <c r="EA103"/>
  <c r="EE102"/>
  <c r="EA102"/>
  <c r="EE101"/>
  <c r="EA101"/>
  <c r="EE100"/>
  <c r="EA100"/>
  <c r="EE99"/>
  <c r="EA99"/>
  <c r="EE98"/>
  <c r="EA98"/>
  <c r="EE97"/>
  <c r="EA97"/>
  <c r="EE93"/>
  <c r="EA93"/>
  <c r="EE92"/>
  <c r="EA92"/>
  <c r="EE91"/>
  <c r="EA91"/>
  <c r="EA90"/>
  <c r="EE89"/>
  <c r="EA89"/>
  <c r="EA87"/>
  <c r="EA86"/>
  <c r="EA84"/>
  <c r="EA83"/>
  <c r="EA82"/>
  <c r="EA81"/>
  <c r="EA77"/>
  <c r="EA76"/>
  <c r="EA75"/>
  <c r="EA74"/>
  <c r="EA73"/>
  <c r="EA69"/>
  <c r="EW45"/>
  <c r="EW44"/>
  <c r="EW43"/>
  <c r="EW42"/>
  <c r="EW41"/>
  <c r="EW38"/>
  <c r="BW31"/>
  <c r="BW32"/>
  <c r="BW33"/>
  <c r="BW34"/>
  <c r="BW30"/>
  <c r="BW26"/>
  <c r="EA70"/>
  <c r="EA78"/>
  <c r="EW39"/>
  <c r="EW47"/>
  <c r="EW62"/>
  <c r="EU124"/>
  <c r="EU123"/>
  <c r="EU122"/>
  <c r="EU121"/>
  <c r="EU120"/>
  <c r="EU119"/>
  <c r="EU118"/>
  <c r="EU117"/>
  <c r="EU116"/>
  <c r="EU115"/>
  <c r="EU114"/>
  <c r="EU113"/>
  <c r="EU112"/>
  <c r="EU111"/>
  <c r="EU110"/>
  <c r="EU109"/>
  <c r="EU108"/>
  <c r="EU107"/>
  <c r="EU106"/>
  <c r="EU105"/>
  <c r="EU104"/>
  <c r="EU103"/>
  <c r="EU102"/>
  <c r="EU101"/>
  <c r="EU100"/>
  <c r="EU99"/>
  <c r="EU98"/>
  <c r="EU97"/>
  <c r="EU95"/>
  <c r="EU94"/>
  <c r="EU93"/>
  <c r="EU92"/>
  <c r="EU91"/>
  <c r="EU90"/>
  <c r="EU89"/>
  <c r="EU87"/>
  <c r="EU86"/>
  <c r="EU84"/>
  <c r="EU83"/>
  <c r="EU82"/>
  <c r="EU81"/>
  <c r="EU80"/>
  <c r="EU79"/>
  <c r="EU78"/>
  <c r="EU77"/>
  <c r="EU76"/>
  <c r="EU75"/>
  <c r="EU74"/>
  <c r="EU73"/>
  <c r="EU72"/>
  <c r="EU71"/>
  <c r="EU70"/>
  <c r="EU69"/>
  <c r="EU68"/>
  <c r="EU67"/>
  <c r="EU66"/>
  <c r="EU65"/>
  <c r="EU63"/>
  <c r="EU62"/>
  <c r="EU61"/>
  <c r="EU60"/>
  <c r="EU59"/>
  <c r="EU58"/>
  <c r="EU57"/>
  <c r="EU56"/>
  <c r="EU55"/>
  <c r="EU54"/>
  <c r="EU53"/>
  <c r="EU52"/>
  <c r="EU51"/>
  <c r="EU50"/>
  <c r="EU48"/>
  <c r="EU47"/>
  <c r="EU46"/>
  <c r="EU45"/>
  <c r="EU44"/>
  <c r="EU43"/>
  <c r="EU42"/>
  <c r="EU41"/>
  <c r="EU40"/>
  <c r="EU39"/>
  <c r="EU38"/>
  <c r="EU36"/>
  <c r="EU35"/>
  <c r="EU33"/>
  <c r="EU31"/>
  <c r="EU37"/>
  <c r="EW37"/>
  <c r="EU32"/>
  <c r="EU34"/>
  <c r="AI80"/>
  <c r="AH80"/>
  <c r="AG80"/>
  <c r="AF80"/>
  <c r="AE80"/>
  <c r="AD80"/>
  <c r="AI81"/>
  <c r="AH81"/>
  <c r="AG81"/>
  <c r="AF81"/>
  <c r="AE81"/>
  <c r="AD81"/>
  <c r="AE136"/>
  <c r="AD136"/>
  <c r="AI134"/>
  <c r="AH134"/>
  <c r="AG134"/>
  <c r="AF134"/>
  <c r="AE134"/>
  <c r="AD134"/>
  <c r="AI126"/>
  <c r="AH126"/>
  <c r="AG126"/>
  <c r="AF126"/>
  <c r="AE126"/>
  <c r="AD126"/>
  <c r="EA88"/>
  <c r="EU88"/>
  <c r="EW88"/>
  <c r="DL33"/>
  <c r="DQ33"/>
  <c r="DM33"/>
  <c r="DR33"/>
  <c r="DN33"/>
  <c r="DS33"/>
  <c r="DO33"/>
  <c r="DT33"/>
  <c r="DP33"/>
  <c r="DU33"/>
  <c r="T33"/>
  <c r="T31"/>
  <c r="T32"/>
  <c r="T34"/>
  <c r="AG34"/>
  <c r="AF34"/>
  <c r="AI34"/>
  <c r="AH34"/>
  <c r="B34"/>
  <c r="AB34"/>
  <c r="AC34"/>
  <c r="BN34"/>
  <c r="DL30"/>
  <c r="DQ30"/>
  <c r="DM30"/>
  <c r="DR30"/>
  <c r="DN30"/>
  <c r="DS30"/>
  <c r="DO30"/>
  <c r="DT30"/>
  <c r="DP30"/>
  <c r="DU30"/>
  <c r="T30"/>
  <c r="EU30"/>
  <c r="EQ124"/>
  <c r="EQ123"/>
  <c r="EQ122"/>
  <c r="EQ121"/>
  <c r="EQ120"/>
  <c r="EQ119"/>
  <c r="EQ118"/>
  <c r="EQ117"/>
  <c r="EQ116"/>
  <c r="EQ115"/>
  <c r="EQ114"/>
  <c r="EQ113"/>
  <c r="EQ112"/>
  <c r="EQ111"/>
  <c r="EQ110"/>
  <c r="EQ109"/>
  <c r="EQ108"/>
  <c r="EQ107"/>
  <c r="EQ106"/>
  <c r="EQ105"/>
  <c r="EQ104"/>
  <c r="EQ103"/>
  <c r="EQ102"/>
  <c r="EQ101"/>
  <c r="EQ100"/>
  <c r="EQ99"/>
  <c r="EQ98"/>
  <c r="EQ97"/>
  <c r="EQ95"/>
  <c r="EQ94"/>
  <c r="EQ93"/>
  <c r="EQ92"/>
  <c r="EQ91"/>
  <c r="EQ90"/>
  <c r="EQ89"/>
  <c r="EQ87"/>
  <c r="EQ86"/>
  <c r="EQ84"/>
  <c r="EQ83"/>
  <c r="EQ82"/>
  <c r="EQ81"/>
  <c r="EQ80"/>
  <c r="EQ79"/>
  <c r="EQ78"/>
  <c r="EQ77"/>
  <c r="EQ76"/>
  <c r="EQ75"/>
  <c r="EQ74"/>
  <c r="EQ73"/>
  <c r="EQ72"/>
  <c r="EQ71"/>
  <c r="EQ70"/>
  <c r="EQ69"/>
  <c r="EQ68"/>
  <c r="EQ67"/>
  <c r="EQ66"/>
  <c r="EQ61"/>
  <c r="EQ60"/>
  <c r="EQ59"/>
  <c r="EQ58"/>
  <c r="EQ57"/>
  <c r="EQ56"/>
  <c r="EQ55"/>
  <c r="EQ54"/>
  <c r="EQ53"/>
  <c r="EQ52"/>
  <c r="EQ51"/>
  <c r="EQ50"/>
  <c r="EQ46"/>
  <c r="EQ45"/>
  <c r="AV4"/>
  <c r="AW4"/>
  <c r="AR377"/>
  <c r="AV377"/>
  <c r="AW377"/>
  <c r="AX377"/>
  <c r="AY377"/>
  <c r="AZ377"/>
  <c r="BA377"/>
  <c r="BB377"/>
  <c r="BC377"/>
  <c r="BD377"/>
  <c r="BE377"/>
  <c r="BF377"/>
  <c r="BG377"/>
  <c r="BH377"/>
  <c r="AU377"/>
  <c r="AT377"/>
  <c r="AR376"/>
  <c r="AV376"/>
  <c r="AW376"/>
  <c r="AX376"/>
  <c r="AY376"/>
  <c r="AZ376"/>
  <c r="BA376"/>
  <c r="BB376"/>
  <c r="BC376"/>
  <c r="BD376"/>
  <c r="BE376"/>
  <c r="BF376"/>
  <c r="BG376"/>
  <c r="BH376"/>
  <c r="AU376"/>
  <c r="AT376"/>
  <c r="AR375"/>
  <c r="AV375"/>
  <c r="AW375"/>
  <c r="AX375"/>
  <c r="AY375"/>
  <c r="AZ375"/>
  <c r="BA375"/>
  <c r="BB375"/>
  <c r="BC375"/>
  <c r="BD375"/>
  <c r="BE375"/>
  <c r="BF375"/>
  <c r="BG375"/>
  <c r="BH375"/>
  <c r="AU375"/>
  <c r="AT375"/>
  <c r="AR374"/>
  <c r="AV374"/>
  <c r="AW374"/>
  <c r="AX374"/>
  <c r="AY374"/>
  <c r="AZ374"/>
  <c r="BA374"/>
  <c r="BB374"/>
  <c r="BC374"/>
  <c r="BD374"/>
  <c r="BE374"/>
  <c r="BF374"/>
  <c r="BG374"/>
  <c r="BH374"/>
  <c r="AU374"/>
  <c r="AT374"/>
  <c r="AR373"/>
  <c r="AV373"/>
  <c r="AW373"/>
  <c r="AX373"/>
  <c r="AY373"/>
  <c r="AZ373"/>
  <c r="BA373"/>
  <c r="BB373"/>
  <c r="BC373"/>
  <c r="BD373"/>
  <c r="BE373"/>
  <c r="BF373"/>
  <c r="BG373"/>
  <c r="BH373"/>
  <c r="AU373"/>
  <c r="AT373"/>
  <c r="AR372"/>
  <c r="AV372"/>
  <c r="AW372"/>
  <c r="AX372"/>
  <c r="AY372"/>
  <c r="AZ372"/>
  <c r="BA372"/>
  <c r="BB372"/>
  <c r="BC372"/>
  <c r="BD372"/>
  <c r="BE372"/>
  <c r="BF372"/>
  <c r="BG372"/>
  <c r="BH372"/>
  <c r="AU372"/>
  <c r="AT372"/>
  <c r="AR371"/>
  <c r="AV371"/>
  <c r="AW371"/>
  <c r="AX371"/>
  <c r="AY371"/>
  <c r="AZ371"/>
  <c r="BA371"/>
  <c r="BB371"/>
  <c r="BC371"/>
  <c r="BD371"/>
  <c r="BE371"/>
  <c r="BF371"/>
  <c r="BG371"/>
  <c r="BH371"/>
  <c r="AU371"/>
  <c r="AT371"/>
  <c r="AR370"/>
  <c r="AV370"/>
  <c r="AW370"/>
  <c r="AX370"/>
  <c r="AY370"/>
  <c r="AZ370"/>
  <c r="BA370"/>
  <c r="BB370"/>
  <c r="BC370"/>
  <c r="BD370"/>
  <c r="BE370"/>
  <c r="BF370"/>
  <c r="BG370"/>
  <c r="BH370"/>
  <c r="AU370"/>
  <c r="AT370"/>
  <c r="AR369"/>
  <c r="AV369"/>
  <c r="AW369"/>
  <c r="AX369"/>
  <c r="AY369"/>
  <c r="AZ369"/>
  <c r="BA369"/>
  <c r="BB369"/>
  <c r="BC369"/>
  <c r="BD369"/>
  <c r="BE369"/>
  <c r="BF369"/>
  <c r="BG369"/>
  <c r="BH369"/>
  <c r="AU369"/>
  <c r="AT369"/>
  <c r="AR368"/>
  <c r="AV368"/>
  <c r="AW368"/>
  <c r="AX368"/>
  <c r="AY368"/>
  <c r="AZ368"/>
  <c r="BA368"/>
  <c r="BB368"/>
  <c r="BC368"/>
  <c r="BD368"/>
  <c r="BE368"/>
  <c r="BF368"/>
  <c r="BG368"/>
  <c r="BH368"/>
  <c r="AU368"/>
  <c r="AT368"/>
  <c r="AR367"/>
  <c r="AV367"/>
  <c r="AW367"/>
  <c r="AX367"/>
  <c r="AY367"/>
  <c r="AZ367"/>
  <c r="BA367"/>
  <c r="BB367"/>
  <c r="BC367"/>
  <c r="BD367"/>
  <c r="BE367"/>
  <c r="BF367"/>
  <c r="BG367"/>
  <c r="BH367"/>
  <c r="AU367"/>
  <c r="AT367"/>
  <c r="AR366"/>
  <c r="AV366"/>
  <c r="AW366"/>
  <c r="AX366"/>
  <c r="AY366"/>
  <c r="AZ366"/>
  <c r="BA366"/>
  <c r="BB366"/>
  <c r="BC366"/>
  <c r="BD366"/>
  <c r="BE366"/>
  <c r="BF366"/>
  <c r="BG366"/>
  <c r="BH366"/>
  <c r="AU366"/>
  <c r="AT366"/>
  <c r="AR365"/>
  <c r="AV365"/>
  <c r="AW365"/>
  <c r="AX365"/>
  <c r="AY365"/>
  <c r="AZ365"/>
  <c r="BA365"/>
  <c r="BB365"/>
  <c r="BC365"/>
  <c r="BD365"/>
  <c r="BE365"/>
  <c r="BF365"/>
  <c r="BG365"/>
  <c r="BH365"/>
  <c r="AU365"/>
  <c r="AT365"/>
  <c r="AR364"/>
  <c r="AV364"/>
  <c r="AW364"/>
  <c r="AX364"/>
  <c r="AY364"/>
  <c r="AZ364"/>
  <c r="BA364"/>
  <c r="BB364"/>
  <c r="BC364"/>
  <c r="BD364"/>
  <c r="BE364"/>
  <c r="BF364"/>
  <c r="BG364"/>
  <c r="BH364"/>
  <c r="AU364"/>
  <c r="AT364"/>
  <c r="AR363"/>
  <c r="AV363"/>
  <c r="AW363"/>
  <c r="AX363"/>
  <c r="AY363"/>
  <c r="AZ363"/>
  <c r="BA363"/>
  <c r="BB363"/>
  <c r="BC363"/>
  <c r="BD363"/>
  <c r="BE363"/>
  <c r="BF363"/>
  <c r="BG363"/>
  <c r="BH363"/>
  <c r="AU363"/>
  <c r="AT363"/>
  <c r="AR362"/>
  <c r="AV362"/>
  <c r="AW362"/>
  <c r="AX362"/>
  <c r="AY362"/>
  <c r="AZ362"/>
  <c r="BA362"/>
  <c r="BB362"/>
  <c r="BC362"/>
  <c r="BD362"/>
  <c r="BE362"/>
  <c r="BF362"/>
  <c r="BG362"/>
  <c r="BH362"/>
  <c r="AU362"/>
  <c r="AT362"/>
  <c r="AR361"/>
  <c r="AV361"/>
  <c r="AW361"/>
  <c r="AX361"/>
  <c r="AY361"/>
  <c r="AZ361"/>
  <c r="BA361"/>
  <c r="BB361"/>
  <c r="BC361"/>
  <c r="BD361"/>
  <c r="BE361"/>
  <c r="BF361"/>
  <c r="BG361"/>
  <c r="BH361"/>
  <c r="AU361"/>
  <c r="AT361"/>
  <c r="AR360"/>
  <c r="AV360"/>
  <c r="AW360"/>
  <c r="AX360"/>
  <c r="AY360"/>
  <c r="AZ360"/>
  <c r="BA360"/>
  <c r="BB360"/>
  <c r="BC360"/>
  <c r="BD360"/>
  <c r="BE360"/>
  <c r="BF360"/>
  <c r="BG360"/>
  <c r="BH360"/>
  <c r="AU360"/>
  <c r="AT360"/>
  <c r="AR359"/>
  <c r="AV359"/>
  <c r="AW359"/>
  <c r="AX359"/>
  <c r="AY359"/>
  <c r="AZ359"/>
  <c r="BA359"/>
  <c r="BB359"/>
  <c r="BC359"/>
  <c r="BD359"/>
  <c r="BE359"/>
  <c r="BF359"/>
  <c r="BG359"/>
  <c r="BH359"/>
  <c r="AU359"/>
  <c r="AT359"/>
  <c r="AR358"/>
  <c r="AV358"/>
  <c r="AW358"/>
  <c r="AX358"/>
  <c r="AY358"/>
  <c r="AZ358"/>
  <c r="BA358"/>
  <c r="BB358"/>
  <c r="BC358"/>
  <c r="BD358"/>
  <c r="BE358"/>
  <c r="BF358"/>
  <c r="BG358"/>
  <c r="BH358"/>
  <c r="AU358"/>
  <c r="AT358"/>
  <c r="AR357"/>
  <c r="AV357"/>
  <c r="AW357"/>
  <c r="AX357"/>
  <c r="AY357"/>
  <c r="AZ357"/>
  <c r="BA357"/>
  <c r="BB357"/>
  <c r="BC357"/>
  <c r="BD357"/>
  <c r="BE357"/>
  <c r="BF357"/>
  <c r="BG357"/>
  <c r="BH357"/>
  <c r="AU357"/>
  <c r="AT357"/>
  <c r="AR272"/>
  <c r="AV272"/>
  <c r="AW272"/>
  <c r="AX272"/>
  <c r="AY272"/>
  <c r="AZ272"/>
  <c r="BA272"/>
  <c r="BB272"/>
  <c r="BC272"/>
  <c r="BD272"/>
  <c r="BE272"/>
  <c r="BF272"/>
  <c r="BG272"/>
  <c r="BH272"/>
  <c r="AU272"/>
  <c r="AT272"/>
  <c r="AR271"/>
  <c r="AV271"/>
  <c r="AW271"/>
  <c r="AX271"/>
  <c r="AY271"/>
  <c r="AZ271"/>
  <c r="BA271"/>
  <c r="BB271"/>
  <c r="BC271"/>
  <c r="BD271"/>
  <c r="BE271"/>
  <c r="BF271"/>
  <c r="BG271"/>
  <c r="BH271"/>
  <c r="AU271"/>
  <c r="AT271"/>
  <c r="AR270"/>
  <c r="AV270"/>
  <c r="AW270"/>
  <c r="AX270"/>
  <c r="AY270"/>
  <c r="AZ270"/>
  <c r="BA270"/>
  <c r="BB270"/>
  <c r="BC270"/>
  <c r="BD270"/>
  <c r="BE270"/>
  <c r="BF270"/>
  <c r="BG270"/>
  <c r="BH270"/>
  <c r="AU270"/>
  <c r="AT270"/>
  <c r="AR269"/>
  <c r="AV269"/>
  <c r="AW269"/>
  <c r="AX269"/>
  <c r="AY269"/>
  <c r="AZ269"/>
  <c r="BA269"/>
  <c r="BB269"/>
  <c r="BC269"/>
  <c r="BD269"/>
  <c r="BE269"/>
  <c r="BF269"/>
  <c r="BG269"/>
  <c r="BH269"/>
  <c r="AU269"/>
  <c r="AT269"/>
  <c r="AR268"/>
  <c r="AV268"/>
  <c r="AW268"/>
  <c r="AX268"/>
  <c r="AY268"/>
  <c r="AZ268"/>
  <c r="BA268"/>
  <c r="BB268"/>
  <c r="BC268"/>
  <c r="BD268"/>
  <c r="BE268"/>
  <c r="BF268"/>
  <c r="BG268"/>
  <c r="BH268"/>
  <c r="AU268"/>
  <c r="AT268"/>
  <c r="AR266"/>
  <c r="AV266"/>
  <c r="AW266"/>
  <c r="AX266"/>
  <c r="AY266"/>
  <c r="AZ266"/>
  <c r="BA266"/>
  <c r="BB266"/>
  <c r="BC266"/>
  <c r="BD266"/>
  <c r="BE266"/>
  <c r="BF266"/>
  <c r="BG266"/>
  <c r="BH266"/>
  <c r="AU266"/>
  <c r="AT266"/>
  <c r="AR265"/>
  <c r="AV265"/>
  <c r="AW265"/>
  <c r="AX265"/>
  <c r="AY265"/>
  <c r="AZ265"/>
  <c r="BA265"/>
  <c r="BB265"/>
  <c r="BC265"/>
  <c r="BD265"/>
  <c r="BE265"/>
  <c r="BF265"/>
  <c r="BG265"/>
  <c r="BH265"/>
  <c r="AU265"/>
  <c r="AT265"/>
  <c r="AR264"/>
  <c r="AV264"/>
  <c r="AW264"/>
  <c r="AX264"/>
  <c r="AY264"/>
  <c r="AZ264"/>
  <c r="BA264"/>
  <c r="BB264"/>
  <c r="BC264"/>
  <c r="BD264"/>
  <c r="BE264"/>
  <c r="BF264"/>
  <c r="BG264"/>
  <c r="BH264"/>
  <c r="AU264"/>
  <c r="AT264"/>
  <c r="AR263"/>
  <c r="AV263"/>
  <c r="AW263"/>
  <c r="AX263"/>
  <c r="AY263"/>
  <c r="AZ263"/>
  <c r="BA263"/>
  <c r="BB263"/>
  <c r="BC263"/>
  <c r="BD263"/>
  <c r="BE263"/>
  <c r="BF263"/>
  <c r="BG263"/>
  <c r="BH263"/>
  <c r="AU263"/>
  <c r="AT263"/>
  <c r="AR262"/>
  <c r="AV262"/>
  <c r="AW262"/>
  <c r="AX262"/>
  <c r="AY262"/>
  <c r="AZ262"/>
  <c r="BA262"/>
  <c r="BB262"/>
  <c r="BC262"/>
  <c r="BD262"/>
  <c r="BE262"/>
  <c r="BF262"/>
  <c r="BG262"/>
  <c r="BH262"/>
  <c r="AU262"/>
  <c r="AT262"/>
  <c r="AR260"/>
  <c r="AV260"/>
  <c r="AW260"/>
  <c r="AX260"/>
  <c r="AY260"/>
  <c r="AZ260"/>
  <c r="BA260"/>
  <c r="BB260"/>
  <c r="BC260"/>
  <c r="BD260"/>
  <c r="BE260"/>
  <c r="BF260"/>
  <c r="BG260"/>
  <c r="BH260"/>
  <c r="AU260"/>
  <c r="AT260"/>
  <c r="AR259"/>
  <c r="AV259"/>
  <c r="AW259"/>
  <c r="AX259"/>
  <c r="AY259"/>
  <c r="AZ259"/>
  <c r="BA259"/>
  <c r="BB259"/>
  <c r="BC259"/>
  <c r="BD259"/>
  <c r="BE259"/>
  <c r="BF259"/>
  <c r="BG259"/>
  <c r="BH259"/>
  <c r="AU259"/>
  <c r="AT259"/>
  <c r="AR258"/>
  <c r="AV258"/>
  <c r="AW258"/>
  <c r="AX258"/>
  <c r="AY258"/>
  <c r="AZ258"/>
  <c r="BA258"/>
  <c r="BB258"/>
  <c r="BC258"/>
  <c r="BD258"/>
  <c r="BE258"/>
  <c r="BF258"/>
  <c r="BG258"/>
  <c r="BH258"/>
  <c r="AU258"/>
  <c r="AT258"/>
  <c r="AR257"/>
  <c r="AV257"/>
  <c r="AW257"/>
  <c r="AX257"/>
  <c r="AY257"/>
  <c r="AZ257"/>
  <c r="BA257"/>
  <c r="BB257"/>
  <c r="BC257"/>
  <c r="BD257"/>
  <c r="BE257"/>
  <c r="BF257"/>
  <c r="BG257"/>
  <c r="BH257"/>
  <c r="AU257"/>
  <c r="AT257"/>
  <c r="EQ43"/>
  <c r="EQ47"/>
  <c r="EQ62"/>
  <c r="EK20"/>
  <c r="T18"/>
  <c r="T39"/>
  <c r="AV39"/>
  <c r="DL39"/>
  <c r="DQ39"/>
  <c r="AU39"/>
  <c r="AW39"/>
  <c r="AX39"/>
  <c r="AZ39"/>
  <c r="BA39"/>
  <c r="BB39"/>
  <c r="B39"/>
  <c r="DM39"/>
  <c r="DR39"/>
  <c r="DN39"/>
  <c r="DS39"/>
  <c r="DO39"/>
  <c r="DT39"/>
  <c r="DP39"/>
  <c r="DU39"/>
  <c r="D25"/>
  <c r="EK124"/>
  <c r="EK123"/>
  <c r="EK122"/>
  <c r="EK121"/>
  <c r="EK120"/>
  <c r="EK119"/>
  <c r="EK118"/>
  <c r="EK117"/>
  <c r="EK116"/>
  <c r="EK115"/>
  <c r="EK114"/>
  <c r="EK113"/>
  <c r="EK112"/>
  <c r="EK111"/>
  <c r="EK110"/>
  <c r="EK109"/>
  <c r="EK108"/>
  <c r="EK107"/>
  <c r="EK106"/>
  <c r="EK105"/>
  <c r="EK104"/>
  <c r="EK103"/>
  <c r="EK102"/>
  <c r="EK101"/>
  <c r="EK100"/>
  <c r="EK99"/>
  <c r="EK98"/>
  <c r="EK97"/>
  <c r="EK95"/>
  <c r="EK94"/>
  <c r="EK93"/>
  <c r="EK92"/>
  <c r="EK91"/>
  <c r="EK90"/>
  <c r="EK89"/>
  <c r="EK87"/>
  <c r="EK86"/>
  <c r="EK84"/>
  <c r="EK83"/>
  <c r="EK82"/>
  <c r="EK81"/>
  <c r="EK80"/>
  <c r="EK79"/>
  <c r="EK78"/>
  <c r="EK77"/>
  <c r="EK76"/>
  <c r="EK75"/>
  <c r="EK74"/>
  <c r="EK73"/>
  <c r="EK72"/>
  <c r="EK71"/>
  <c r="EK70"/>
  <c r="EK69"/>
  <c r="EK68"/>
  <c r="EK67"/>
  <c r="EK66"/>
  <c r="EK65"/>
  <c r="EK62"/>
  <c r="EK61"/>
  <c r="EK60"/>
  <c r="EK59"/>
  <c r="EK58"/>
  <c r="EK57"/>
  <c r="EK56"/>
  <c r="EK55"/>
  <c r="EK54"/>
  <c r="EK53"/>
  <c r="EK52"/>
  <c r="EK51"/>
  <c r="EK50"/>
  <c r="EK48"/>
  <c r="EK47"/>
  <c r="EK46"/>
  <c r="EK45"/>
  <c r="EK44"/>
  <c r="EK43"/>
  <c r="EK42"/>
  <c r="EK41"/>
  <c r="EK40"/>
  <c r="EK39"/>
  <c r="EK38"/>
  <c r="EK36"/>
  <c r="EK35"/>
  <c r="EK31"/>
  <c r="EK30"/>
  <c r="EK29"/>
  <c r="EK28"/>
  <c r="EK27"/>
  <c r="EK26"/>
  <c r="EK24"/>
  <c r="EK37"/>
  <c r="AW33"/>
  <c r="AU33"/>
  <c r="DA33"/>
  <c r="DA30"/>
  <c r="DA26"/>
  <c r="CW24"/>
  <c r="DD33"/>
  <c r="DD30"/>
  <c r="DD26"/>
  <c r="CZ24"/>
  <c r="DC33"/>
  <c r="DC30"/>
  <c r="DC26"/>
  <c r="CY24"/>
  <c r="AU30"/>
  <c r="AV29"/>
  <c r="AU29"/>
  <c r="D29"/>
  <c r="D24"/>
  <c r="AW30"/>
  <c r="DB33"/>
  <c r="DB30"/>
  <c r="DB26"/>
  <c r="DI30"/>
  <c r="Q30"/>
  <c r="DI31"/>
  <c r="Q31"/>
  <c r="CX24"/>
  <c r="DI32"/>
  <c r="Q32"/>
  <c r="EK32"/>
  <c r="EK34"/>
  <c r="CV24"/>
  <c r="CV23"/>
  <c r="AG12"/>
  <c r="AF12"/>
  <c r="AI39"/>
  <c r="AH39"/>
  <c r="AG39"/>
  <c r="AF39"/>
  <c r="EK88"/>
  <c r="EQ88"/>
  <c r="C36"/>
  <c r="BL17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211"/>
  <c r="C211"/>
  <c r="CG211"/>
  <c r="B210"/>
  <c r="C210"/>
  <c r="CG210"/>
  <c r="B209"/>
  <c r="C209"/>
  <c r="CG209"/>
  <c r="B208"/>
  <c r="C208"/>
  <c r="CG208"/>
  <c r="B207"/>
  <c r="C207"/>
  <c r="CG207"/>
  <c r="B206"/>
  <c r="C206"/>
  <c r="CG206"/>
  <c r="B205"/>
  <c r="C205"/>
  <c r="CG205"/>
  <c r="B204"/>
  <c r="C204"/>
  <c r="CG204"/>
  <c r="B203"/>
  <c r="C203"/>
  <c r="CG203"/>
  <c r="B202"/>
  <c r="C202"/>
  <c r="CG202"/>
  <c r="B201"/>
  <c r="C201"/>
  <c r="CG201"/>
  <c r="B200"/>
  <c r="C200"/>
  <c r="CG200"/>
  <c r="B199"/>
  <c r="C199"/>
  <c r="CG199"/>
  <c r="B198"/>
  <c r="C198"/>
  <c r="CG198"/>
  <c r="B197"/>
  <c r="C197"/>
  <c r="CG197"/>
  <c r="B196"/>
  <c r="C196"/>
  <c r="CG196"/>
  <c r="B195"/>
  <c r="C195"/>
  <c r="CG195"/>
  <c r="CG194"/>
  <c r="CG193"/>
  <c r="CG192"/>
  <c r="CG191"/>
  <c r="CG190"/>
  <c r="CG189"/>
  <c r="CG188"/>
  <c r="CG187"/>
  <c r="CG186"/>
  <c r="CG185"/>
  <c r="CG184"/>
  <c r="CG183"/>
  <c r="CG182"/>
  <c r="CG181"/>
  <c r="CG180"/>
  <c r="CG179"/>
  <c r="CG178"/>
  <c r="D177"/>
  <c r="D211"/>
  <c r="D210"/>
  <c r="D209"/>
  <c r="D208"/>
  <c r="D207"/>
  <c r="AR351"/>
  <c r="AV351"/>
  <c r="AW351"/>
  <c r="AX351"/>
  <c r="AY351"/>
  <c r="AZ351"/>
  <c r="BA351"/>
  <c r="BB351"/>
  <c r="BC351"/>
  <c r="BD351"/>
  <c r="BE351"/>
  <c r="BF351"/>
  <c r="BG351"/>
  <c r="BH351"/>
  <c r="AU351"/>
  <c r="AT351"/>
  <c r="D206"/>
  <c r="AR345"/>
  <c r="AV345"/>
  <c r="AW345"/>
  <c r="AX345"/>
  <c r="AY345"/>
  <c r="AZ345"/>
  <c r="BA345"/>
  <c r="BB345"/>
  <c r="BC345"/>
  <c r="BD345"/>
  <c r="BE345"/>
  <c r="BF345"/>
  <c r="BG345"/>
  <c r="BH345"/>
  <c r="AU345"/>
  <c r="AT345"/>
  <c r="D205"/>
  <c r="AR339"/>
  <c r="AV339"/>
  <c r="AW339"/>
  <c r="AX339"/>
  <c r="AY339"/>
  <c r="AZ339"/>
  <c r="BA339"/>
  <c r="BB339"/>
  <c r="BC339"/>
  <c r="BD339"/>
  <c r="BE339"/>
  <c r="BF339"/>
  <c r="BG339"/>
  <c r="BH339"/>
  <c r="AU339"/>
  <c r="AT339"/>
  <c r="D204"/>
  <c r="AR333"/>
  <c r="AV333"/>
  <c r="AW333"/>
  <c r="AX333"/>
  <c r="AY333"/>
  <c r="AZ333"/>
  <c r="BA333"/>
  <c r="BB333"/>
  <c r="BC333"/>
  <c r="BD333"/>
  <c r="BE333"/>
  <c r="BF333"/>
  <c r="BG333"/>
  <c r="BH333"/>
  <c r="AU333"/>
  <c r="AT333"/>
  <c r="D203"/>
  <c r="AR327"/>
  <c r="AV327"/>
  <c r="AW327"/>
  <c r="AX327"/>
  <c r="AY327"/>
  <c r="AZ327"/>
  <c r="BA327"/>
  <c r="BB327"/>
  <c r="BC327"/>
  <c r="BD327"/>
  <c r="BE327"/>
  <c r="BF327"/>
  <c r="BG327"/>
  <c r="BH327"/>
  <c r="AU327"/>
  <c r="AT327"/>
  <c r="D202"/>
  <c r="AR321"/>
  <c r="AV321"/>
  <c r="AW321"/>
  <c r="AX321"/>
  <c r="AY321"/>
  <c r="AZ321"/>
  <c r="BA321"/>
  <c r="BB321"/>
  <c r="BC321"/>
  <c r="BD321"/>
  <c r="BE321"/>
  <c r="BF321"/>
  <c r="BG321"/>
  <c r="BH321"/>
  <c r="AU321"/>
  <c r="AT321"/>
  <c r="D201"/>
  <c r="AR315"/>
  <c r="AV315"/>
  <c r="AW315"/>
  <c r="AX315"/>
  <c r="AY315"/>
  <c r="AZ315"/>
  <c r="BA315"/>
  <c r="BB315"/>
  <c r="BC315"/>
  <c r="BD315"/>
  <c r="BE315"/>
  <c r="BF315"/>
  <c r="BG315"/>
  <c r="BH315"/>
  <c r="AU315"/>
  <c r="AT315"/>
  <c r="D200"/>
  <c r="AR309"/>
  <c r="AV309"/>
  <c r="AW309"/>
  <c r="AX309"/>
  <c r="AY309"/>
  <c r="AZ309"/>
  <c r="BA309"/>
  <c r="BB309"/>
  <c r="BC309"/>
  <c r="BD309"/>
  <c r="BE309"/>
  <c r="BF309"/>
  <c r="BG309"/>
  <c r="BH309"/>
  <c r="AU309"/>
  <c r="AT309"/>
  <c r="D199"/>
  <c r="AR303"/>
  <c r="AV303"/>
  <c r="AW303"/>
  <c r="AX303"/>
  <c r="AY303"/>
  <c r="AZ303"/>
  <c r="BA303"/>
  <c r="BB303"/>
  <c r="BC303"/>
  <c r="BD303"/>
  <c r="BE303"/>
  <c r="BF303"/>
  <c r="BG303"/>
  <c r="BH303"/>
  <c r="AU303"/>
  <c r="AT303"/>
  <c r="D198"/>
  <c r="AR297"/>
  <c r="AV297"/>
  <c r="AW297"/>
  <c r="AX297"/>
  <c r="AY297"/>
  <c r="AZ297"/>
  <c r="BA297"/>
  <c r="BB297"/>
  <c r="BC297"/>
  <c r="BD297"/>
  <c r="BE297"/>
  <c r="BF297"/>
  <c r="BG297"/>
  <c r="BH297"/>
  <c r="AU297"/>
  <c r="AT297"/>
  <c r="D197"/>
  <c r="AR291"/>
  <c r="AV291"/>
  <c r="AW291"/>
  <c r="AX291"/>
  <c r="AY291"/>
  <c r="AZ291"/>
  <c r="BA291"/>
  <c r="BB291"/>
  <c r="BC291"/>
  <c r="BD291"/>
  <c r="BE291"/>
  <c r="BF291"/>
  <c r="BG291"/>
  <c r="BH291"/>
  <c r="AU291"/>
  <c r="AT291"/>
  <c r="D196"/>
  <c r="AR285"/>
  <c r="AV285"/>
  <c r="AW285"/>
  <c r="AX285"/>
  <c r="AY285"/>
  <c r="AZ285"/>
  <c r="BA285"/>
  <c r="BB285"/>
  <c r="BC285"/>
  <c r="BD285"/>
  <c r="BE285"/>
  <c r="BF285"/>
  <c r="BG285"/>
  <c r="BH285"/>
  <c r="AU285"/>
  <c r="AT285"/>
  <c r="D195"/>
  <c r="AR279"/>
  <c r="AV279"/>
  <c r="AW279"/>
  <c r="AX279"/>
  <c r="AY279"/>
  <c r="AZ279"/>
  <c r="BA279"/>
  <c r="BB279"/>
  <c r="BC279"/>
  <c r="BD279"/>
  <c r="BE279"/>
  <c r="BF279"/>
  <c r="BG279"/>
  <c r="BH279"/>
  <c r="AU279"/>
  <c r="AT279"/>
  <c r="D194"/>
  <c r="AR273"/>
  <c r="AV273"/>
  <c r="AW273"/>
  <c r="AX273"/>
  <c r="AY273"/>
  <c r="AZ273"/>
  <c r="BA273"/>
  <c r="BB273"/>
  <c r="BC273"/>
  <c r="BD273"/>
  <c r="BE273"/>
  <c r="BF273"/>
  <c r="BG273"/>
  <c r="BH273"/>
  <c r="AU273"/>
  <c r="AT273"/>
  <c r="D193"/>
  <c r="AR267"/>
  <c r="AV267"/>
  <c r="AW267"/>
  <c r="AX267"/>
  <c r="AY267"/>
  <c r="AZ267"/>
  <c r="BA267"/>
  <c r="BB267"/>
  <c r="BC267"/>
  <c r="BD267"/>
  <c r="BE267"/>
  <c r="BF267"/>
  <c r="BG267"/>
  <c r="BH267"/>
  <c r="AU267"/>
  <c r="AT267"/>
  <c r="D192"/>
  <c r="AR261"/>
  <c r="AV261"/>
  <c r="AW261"/>
  <c r="AX261"/>
  <c r="AY261"/>
  <c r="AZ261"/>
  <c r="BA261"/>
  <c r="BB261"/>
  <c r="BC261"/>
  <c r="BD261"/>
  <c r="BE261"/>
  <c r="BF261"/>
  <c r="BG261"/>
  <c r="BH261"/>
  <c r="AU261"/>
  <c r="AT261"/>
  <c r="D191"/>
  <c r="AR255"/>
  <c r="AV255"/>
  <c r="AW255"/>
  <c r="AX255"/>
  <c r="AY255"/>
  <c r="AZ255"/>
  <c r="BA255"/>
  <c r="BB255"/>
  <c r="BC255"/>
  <c r="BD255"/>
  <c r="BE255"/>
  <c r="BF255"/>
  <c r="BG255"/>
  <c r="BH255"/>
  <c r="AU255"/>
  <c r="AT255"/>
  <c r="D190"/>
  <c r="AR249"/>
  <c r="AV249"/>
  <c r="AW249"/>
  <c r="AX249"/>
  <c r="AY249"/>
  <c r="AZ249"/>
  <c r="BA249"/>
  <c r="BB249"/>
  <c r="BC249"/>
  <c r="BD249"/>
  <c r="BE249"/>
  <c r="BF249"/>
  <c r="BG249"/>
  <c r="BH249"/>
  <c r="AU249"/>
  <c r="AT249"/>
  <c r="D189"/>
  <c r="AR243"/>
  <c r="AV243"/>
  <c r="AW243"/>
  <c r="AX243"/>
  <c r="AY243"/>
  <c r="AZ243"/>
  <c r="BA243"/>
  <c r="BB243"/>
  <c r="BC243"/>
  <c r="BD243"/>
  <c r="BE243"/>
  <c r="BF243"/>
  <c r="BG243"/>
  <c r="BH243"/>
  <c r="AU243"/>
  <c r="AT243"/>
  <c r="D188"/>
  <c r="AR237"/>
  <c r="AV237"/>
  <c r="AW237"/>
  <c r="AX237"/>
  <c r="AY237"/>
  <c r="AZ237"/>
  <c r="BA237"/>
  <c r="BB237"/>
  <c r="BC237"/>
  <c r="BD237"/>
  <c r="BE237"/>
  <c r="BF237"/>
  <c r="BG237"/>
  <c r="BH237"/>
  <c r="AU237"/>
  <c r="AT237"/>
  <c r="D187"/>
  <c r="AR231"/>
  <c r="AV231"/>
  <c r="AW231"/>
  <c r="AX231"/>
  <c r="AY231"/>
  <c r="AZ231"/>
  <c r="BA231"/>
  <c r="BB231"/>
  <c r="BC231"/>
  <c r="BD231"/>
  <c r="BE231"/>
  <c r="BF231"/>
  <c r="BG231"/>
  <c r="BH231"/>
  <c r="AU231"/>
  <c r="AT231"/>
  <c r="D186"/>
  <c r="AR212"/>
  <c r="AV212"/>
  <c r="AW212"/>
  <c r="AX212"/>
  <c r="AY212"/>
  <c r="AZ212"/>
  <c r="BA212"/>
  <c r="BB212"/>
  <c r="BC212"/>
  <c r="BD212"/>
  <c r="BE212"/>
  <c r="BF212"/>
  <c r="BG212"/>
  <c r="BH212"/>
  <c r="AU212"/>
  <c r="AT212"/>
  <c r="AR214"/>
  <c r="AV214"/>
  <c r="AW214"/>
  <c r="AX214"/>
  <c r="AY214"/>
  <c r="AZ214"/>
  <c r="BA214"/>
  <c r="BB214"/>
  <c r="BC214"/>
  <c r="BD214"/>
  <c r="BE214"/>
  <c r="BF214"/>
  <c r="BG214"/>
  <c r="BH214"/>
  <c r="AU214"/>
  <c r="AT214"/>
  <c r="AR215"/>
  <c r="AV215"/>
  <c r="AW215"/>
  <c r="AX215"/>
  <c r="AY215"/>
  <c r="AZ215"/>
  <c r="BA215"/>
  <c r="BB215"/>
  <c r="BC215"/>
  <c r="BD215"/>
  <c r="BE215"/>
  <c r="BF215"/>
  <c r="BG215"/>
  <c r="BH215"/>
  <c r="AU215"/>
  <c r="AT215"/>
  <c r="AR225"/>
  <c r="AV225"/>
  <c r="AW225"/>
  <c r="AX225"/>
  <c r="AY225"/>
  <c r="AZ225"/>
  <c r="BA225"/>
  <c r="BB225"/>
  <c r="BC225"/>
  <c r="BD225"/>
  <c r="BE225"/>
  <c r="BF225"/>
  <c r="BG225"/>
  <c r="BH225"/>
  <c r="AU225"/>
  <c r="AT225"/>
  <c r="D185"/>
  <c r="AR208"/>
  <c r="AV208"/>
  <c r="AW208"/>
  <c r="AX208"/>
  <c r="AY208"/>
  <c r="AZ208"/>
  <c r="BA208"/>
  <c r="BB208"/>
  <c r="BC208"/>
  <c r="BD208"/>
  <c r="BE208"/>
  <c r="BF208"/>
  <c r="BG208"/>
  <c r="BH208"/>
  <c r="AU208"/>
  <c r="AT208"/>
  <c r="AR209"/>
  <c r="AV209"/>
  <c r="AW209"/>
  <c r="AX209"/>
  <c r="AY209"/>
  <c r="AZ209"/>
  <c r="BA209"/>
  <c r="BB209"/>
  <c r="BC209"/>
  <c r="BD209"/>
  <c r="BE209"/>
  <c r="BF209"/>
  <c r="BG209"/>
  <c r="BH209"/>
  <c r="AU209"/>
  <c r="AT209"/>
  <c r="AR219"/>
  <c r="AV219"/>
  <c r="AW219"/>
  <c r="AX219"/>
  <c r="AY219"/>
  <c r="AZ219"/>
  <c r="BA219"/>
  <c r="BB219"/>
  <c r="BC219"/>
  <c r="BD219"/>
  <c r="BE219"/>
  <c r="BF219"/>
  <c r="BG219"/>
  <c r="BH219"/>
  <c r="AU219"/>
  <c r="AT219"/>
  <c r="D184"/>
  <c r="AR213"/>
  <c r="AV213"/>
  <c r="AW213"/>
  <c r="AX213"/>
  <c r="AY213"/>
  <c r="AZ213"/>
  <c r="BA213"/>
  <c r="BB213"/>
  <c r="BC213"/>
  <c r="BD213"/>
  <c r="BE213"/>
  <c r="BF213"/>
  <c r="BG213"/>
  <c r="BH213"/>
  <c r="AU213"/>
  <c r="AT213"/>
  <c r="D183"/>
  <c r="AV207"/>
  <c r="AW207"/>
  <c r="AX207"/>
  <c r="AY207"/>
  <c r="AZ207"/>
  <c r="BA207"/>
  <c r="BB207"/>
  <c r="BC207"/>
  <c r="BD207"/>
  <c r="BE207"/>
  <c r="BF207"/>
  <c r="BG207"/>
  <c r="BH207"/>
  <c r="AU207"/>
  <c r="AT207"/>
  <c r="EK22"/>
  <c r="EK23"/>
  <c r="EK19"/>
  <c r="EK21"/>
  <c r="EK25"/>
  <c r="EK18"/>
  <c r="EK33"/>
  <c r="EK63"/>
  <c r="D182"/>
  <c r="D181"/>
  <c r="EW35"/>
  <c r="D180"/>
  <c r="EE88"/>
  <c r="EE90"/>
  <c r="EE94"/>
  <c r="EE83"/>
  <c r="D179"/>
  <c r="D178"/>
  <c r="F177"/>
  <c r="F178"/>
  <c r="F179"/>
  <c r="F195"/>
  <c r="AR274"/>
  <c r="AV274"/>
  <c r="AW274"/>
  <c r="AX274"/>
  <c r="AY274"/>
  <c r="AZ274"/>
  <c r="BA274"/>
  <c r="BB274"/>
  <c r="BC274"/>
  <c r="BD274"/>
  <c r="BE274"/>
  <c r="BF274"/>
  <c r="BG274"/>
  <c r="BH274"/>
  <c r="AU274"/>
  <c r="AT274"/>
  <c r="F196"/>
  <c r="AR280"/>
  <c r="AV280"/>
  <c r="AW280"/>
  <c r="AX280"/>
  <c r="AY280"/>
  <c r="AZ280"/>
  <c r="BA280"/>
  <c r="BB280"/>
  <c r="BC280"/>
  <c r="BD280"/>
  <c r="BE280"/>
  <c r="BF280"/>
  <c r="BG280"/>
  <c r="BH280"/>
  <c r="AU280"/>
  <c r="AT280"/>
  <c r="F197"/>
  <c r="AR286"/>
  <c r="AV286"/>
  <c r="AW286"/>
  <c r="AX286"/>
  <c r="AY286"/>
  <c r="AZ286"/>
  <c r="BA286"/>
  <c r="BB286"/>
  <c r="BC286"/>
  <c r="BD286"/>
  <c r="BE286"/>
  <c r="BF286"/>
  <c r="BG286"/>
  <c r="BH286"/>
  <c r="AU286"/>
  <c r="AT286"/>
  <c r="F198"/>
  <c r="AR292"/>
  <c r="AV292"/>
  <c r="AW292"/>
  <c r="AX292"/>
  <c r="AY292"/>
  <c r="AZ292"/>
  <c r="BA292"/>
  <c r="BB292"/>
  <c r="BC292"/>
  <c r="BD292"/>
  <c r="BE292"/>
  <c r="BF292"/>
  <c r="BG292"/>
  <c r="BH292"/>
  <c r="AU292"/>
  <c r="AT292"/>
  <c r="F199"/>
  <c r="AR298"/>
  <c r="AV298"/>
  <c r="AW298"/>
  <c r="AX298"/>
  <c r="AY298"/>
  <c r="AZ298"/>
  <c r="BA298"/>
  <c r="BB298"/>
  <c r="BC298"/>
  <c r="BD298"/>
  <c r="BE298"/>
  <c r="BF298"/>
  <c r="BG298"/>
  <c r="BH298"/>
  <c r="AU298"/>
  <c r="AT298"/>
  <c r="F200"/>
  <c r="AR304"/>
  <c r="AV304"/>
  <c r="AW304"/>
  <c r="AX304"/>
  <c r="AY304"/>
  <c r="AZ304"/>
  <c r="BA304"/>
  <c r="BB304"/>
  <c r="BC304"/>
  <c r="BD304"/>
  <c r="BE304"/>
  <c r="BF304"/>
  <c r="BG304"/>
  <c r="BH304"/>
  <c r="AU304"/>
  <c r="AT304"/>
  <c r="F201"/>
  <c r="AR310"/>
  <c r="AV310"/>
  <c r="AW310"/>
  <c r="AX310"/>
  <c r="AY310"/>
  <c r="AZ310"/>
  <c r="BA310"/>
  <c r="BB310"/>
  <c r="BC310"/>
  <c r="BD310"/>
  <c r="BE310"/>
  <c r="BF310"/>
  <c r="BG310"/>
  <c r="BH310"/>
  <c r="AU310"/>
  <c r="AT310"/>
  <c r="F202"/>
  <c r="AR316"/>
  <c r="AV316"/>
  <c r="AW316"/>
  <c r="AX316"/>
  <c r="AY316"/>
  <c r="AZ316"/>
  <c r="BA316"/>
  <c r="BB316"/>
  <c r="BC316"/>
  <c r="BD316"/>
  <c r="BE316"/>
  <c r="BF316"/>
  <c r="BG316"/>
  <c r="BH316"/>
  <c r="AU316"/>
  <c r="AT316"/>
  <c r="F203"/>
  <c r="AR322"/>
  <c r="AV322"/>
  <c r="AW322"/>
  <c r="AX322"/>
  <c r="AY322"/>
  <c r="AZ322"/>
  <c r="BA322"/>
  <c r="BB322"/>
  <c r="BC322"/>
  <c r="BD322"/>
  <c r="BE322"/>
  <c r="BF322"/>
  <c r="BG322"/>
  <c r="BH322"/>
  <c r="AU322"/>
  <c r="AT322"/>
  <c r="F204"/>
  <c r="AR328"/>
  <c r="AV328"/>
  <c r="AW328"/>
  <c r="AX328"/>
  <c r="AY328"/>
  <c r="AZ328"/>
  <c r="BA328"/>
  <c r="BB328"/>
  <c r="BC328"/>
  <c r="BD328"/>
  <c r="BE328"/>
  <c r="BF328"/>
  <c r="BG328"/>
  <c r="BH328"/>
  <c r="AU328"/>
  <c r="AT328"/>
  <c r="F205"/>
  <c r="AR334"/>
  <c r="AV334"/>
  <c r="AW334"/>
  <c r="AX334"/>
  <c r="AY334"/>
  <c r="AZ334"/>
  <c r="BA334"/>
  <c r="BB334"/>
  <c r="BC334"/>
  <c r="BD334"/>
  <c r="BE334"/>
  <c r="BF334"/>
  <c r="BG334"/>
  <c r="BH334"/>
  <c r="AU334"/>
  <c r="AT334"/>
  <c r="F206"/>
  <c r="AR340"/>
  <c r="AV340"/>
  <c r="AW340"/>
  <c r="AX340"/>
  <c r="AY340"/>
  <c r="AZ340"/>
  <c r="BA340"/>
  <c r="BB340"/>
  <c r="BC340"/>
  <c r="BD340"/>
  <c r="BE340"/>
  <c r="BF340"/>
  <c r="BG340"/>
  <c r="BH340"/>
  <c r="AU340"/>
  <c r="AT340"/>
  <c r="F207"/>
  <c r="AR346"/>
  <c r="AV346"/>
  <c r="AW346"/>
  <c r="AX346"/>
  <c r="AY346"/>
  <c r="AZ346"/>
  <c r="BA346"/>
  <c r="BB346"/>
  <c r="BC346"/>
  <c r="BD346"/>
  <c r="BE346"/>
  <c r="BF346"/>
  <c r="BG346"/>
  <c r="BH346"/>
  <c r="AU346"/>
  <c r="AT346"/>
  <c r="F208"/>
  <c r="AR352"/>
  <c r="AV352"/>
  <c r="AW352"/>
  <c r="AX352"/>
  <c r="AY352"/>
  <c r="AZ352"/>
  <c r="BA352"/>
  <c r="BB352"/>
  <c r="BC352"/>
  <c r="BD352"/>
  <c r="BE352"/>
  <c r="BF352"/>
  <c r="BG352"/>
  <c r="BH352"/>
  <c r="AU352"/>
  <c r="AT352"/>
  <c r="F209"/>
  <c r="F210"/>
  <c r="F211"/>
  <c r="I177"/>
  <c r="I195"/>
  <c r="AR275"/>
  <c r="AV275"/>
  <c r="AW275"/>
  <c r="AX275"/>
  <c r="AY275"/>
  <c r="AZ275"/>
  <c r="BA275"/>
  <c r="BB275"/>
  <c r="BC275"/>
  <c r="BD275"/>
  <c r="BE275"/>
  <c r="BF275"/>
  <c r="BG275"/>
  <c r="BH275"/>
  <c r="AU275"/>
  <c r="AT275"/>
  <c r="I196"/>
  <c r="AR281"/>
  <c r="AV281"/>
  <c r="AW281"/>
  <c r="AX281"/>
  <c r="AY281"/>
  <c r="AZ281"/>
  <c r="BA281"/>
  <c r="BB281"/>
  <c r="BC281"/>
  <c r="BD281"/>
  <c r="BE281"/>
  <c r="BF281"/>
  <c r="BG281"/>
  <c r="BH281"/>
  <c r="AU281"/>
  <c r="AT281"/>
  <c r="I197"/>
  <c r="AR287"/>
  <c r="AV287"/>
  <c r="AW287"/>
  <c r="AX287"/>
  <c r="AY287"/>
  <c r="AZ287"/>
  <c r="BA287"/>
  <c r="BB287"/>
  <c r="BC287"/>
  <c r="BD287"/>
  <c r="BE287"/>
  <c r="BF287"/>
  <c r="BG287"/>
  <c r="BH287"/>
  <c r="AU287"/>
  <c r="AT287"/>
  <c r="I198"/>
  <c r="AR293"/>
  <c r="AV293"/>
  <c r="AW293"/>
  <c r="AX293"/>
  <c r="AY293"/>
  <c r="AZ293"/>
  <c r="BA293"/>
  <c r="BB293"/>
  <c r="BC293"/>
  <c r="BD293"/>
  <c r="BE293"/>
  <c r="BF293"/>
  <c r="BG293"/>
  <c r="BH293"/>
  <c r="AU293"/>
  <c r="AT293"/>
  <c r="I199"/>
  <c r="AR299"/>
  <c r="AV299"/>
  <c r="AW299"/>
  <c r="AX299"/>
  <c r="AY299"/>
  <c r="AZ299"/>
  <c r="BA299"/>
  <c r="BB299"/>
  <c r="BC299"/>
  <c r="BD299"/>
  <c r="BE299"/>
  <c r="BF299"/>
  <c r="BG299"/>
  <c r="BH299"/>
  <c r="AU299"/>
  <c r="AT299"/>
  <c r="I200"/>
  <c r="AR305"/>
  <c r="AV305"/>
  <c r="AW305"/>
  <c r="AX305"/>
  <c r="AY305"/>
  <c r="AZ305"/>
  <c r="BA305"/>
  <c r="BB305"/>
  <c r="BC305"/>
  <c r="BD305"/>
  <c r="BE305"/>
  <c r="BF305"/>
  <c r="BG305"/>
  <c r="BH305"/>
  <c r="AU305"/>
  <c r="AT305"/>
  <c r="I201"/>
  <c r="AR311"/>
  <c r="AV311"/>
  <c r="AW311"/>
  <c r="AX311"/>
  <c r="AY311"/>
  <c r="AZ311"/>
  <c r="BA311"/>
  <c r="BB311"/>
  <c r="BC311"/>
  <c r="BD311"/>
  <c r="BE311"/>
  <c r="BF311"/>
  <c r="BG311"/>
  <c r="BH311"/>
  <c r="AU311"/>
  <c r="AT311"/>
  <c r="I202"/>
  <c r="AR317"/>
  <c r="AV317"/>
  <c r="AW317"/>
  <c r="AX317"/>
  <c r="AY317"/>
  <c r="AZ317"/>
  <c r="BA317"/>
  <c r="BB317"/>
  <c r="BC317"/>
  <c r="BD317"/>
  <c r="BE317"/>
  <c r="BF317"/>
  <c r="BG317"/>
  <c r="BH317"/>
  <c r="AU317"/>
  <c r="AT317"/>
  <c r="I203"/>
  <c r="AR323"/>
  <c r="AV323"/>
  <c r="AW323"/>
  <c r="AX323"/>
  <c r="AY323"/>
  <c r="AZ323"/>
  <c r="BA323"/>
  <c r="BB323"/>
  <c r="BC323"/>
  <c r="BD323"/>
  <c r="BE323"/>
  <c r="BF323"/>
  <c r="BG323"/>
  <c r="BH323"/>
  <c r="AU323"/>
  <c r="AT323"/>
  <c r="I204"/>
  <c r="AR329"/>
  <c r="AV329"/>
  <c r="AW329"/>
  <c r="AX329"/>
  <c r="AY329"/>
  <c r="AZ329"/>
  <c r="BA329"/>
  <c r="BB329"/>
  <c r="BC329"/>
  <c r="BD329"/>
  <c r="BE329"/>
  <c r="BF329"/>
  <c r="BG329"/>
  <c r="BH329"/>
  <c r="AU329"/>
  <c r="AT329"/>
  <c r="I205"/>
  <c r="AR335"/>
  <c r="AV335"/>
  <c r="AW335"/>
  <c r="AX335"/>
  <c r="AY335"/>
  <c r="AZ335"/>
  <c r="BA335"/>
  <c r="BB335"/>
  <c r="BC335"/>
  <c r="BD335"/>
  <c r="BE335"/>
  <c r="BF335"/>
  <c r="BG335"/>
  <c r="BH335"/>
  <c r="AU335"/>
  <c r="AT335"/>
  <c r="I206"/>
  <c r="AR341"/>
  <c r="AV341"/>
  <c r="AW341"/>
  <c r="AX341"/>
  <c r="AY341"/>
  <c r="AZ341"/>
  <c r="BA341"/>
  <c r="BB341"/>
  <c r="BC341"/>
  <c r="BD341"/>
  <c r="BE341"/>
  <c r="BF341"/>
  <c r="BG341"/>
  <c r="BH341"/>
  <c r="AU341"/>
  <c r="AT341"/>
  <c r="I207"/>
  <c r="AR347"/>
  <c r="AV347"/>
  <c r="AW347"/>
  <c r="AX347"/>
  <c r="AY347"/>
  <c r="AZ347"/>
  <c r="BA347"/>
  <c r="BB347"/>
  <c r="BC347"/>
  <c r="BD347"/>
  <c r="BE347"/>
  <c r="BF347"/>
  <c r="BG347"/>
  <c r="BH347"/>
  <c r="AU347"/>
  <c r="AT347"/>
  <c r="I208"/>
  <c r="AR353"/>
  <c r="AV353"/>
  <c r="AW353"/>
  <c r="AX353"/>
  <c r="AY353"/>
  <c r="AZ353"/>
  <c r="BA353"/>
  <c r="BB353"/>
  <c r="BC353"/>
  <c r="BD353"/>
  <c r="BE353"/>
  <c r="BF353"/>
  <c r="BG353"/>
  <c r="BH353"/>
  <c r="AU353"/>
  <c r="AT353"/>
  <c r="I209"/>
  <c r="I210"/>
  <c r="I211"/>
  <c r="K177"/>
  <c r="K195"/>
  <c r="AR276"/>
  <c r="AV276"/>
  <c r="AW276"/>
  <c r="AX276"/>
  <c r="AY276"/>
  <c r="AZ276"/>
  <c r="BA276"/>
  <c r="BB276"/>
  <c r="BC276"/>
  <c r="BD276"/>
  <c r="BE276"/>
  <c r="BF276"/>
  <c r="BG276"/>
  <c r="BH276"/>
  <c r="AU276"/>
  <c r="AT276"/>
  <c r="K196"/>
  <c r="AR282"/>
  <c r="AV282"/>
  <c r="AW282"/>
  <c r="AX282"/>
  <c r="AY282"/>
  <c r="AZ282"/>
  <c r="BA282"/>
  <c r="BB282"/>
  <c r="BC282"/>
  <c r="BD282"/>
  <c r="BE282"/>
  <c r="BF282"/>
  <c r="BG282"/>
  <c r="BH282"/>
  <c r="AU282"/>
  <c r="AT282"/>
  <c r="K197"/>
  <c r="AR288"/>
  <c r="AV288"/>
  <c r="AW288"/>
  <c r="AX288"/>
  <c r="AY288"/>
  <c r="AZ288"/>
  <c r="BA288"/>
  <c r="BB288"/>
  <c r="BC288"/>
  <c r="BD288"/>
  <c r="BE288"/>
  <c r="BF288"/>
  <c r="BG288"/>
  <c r="BH288"/>
  <c r="AU288"/>
  <c r="AT288"/>
  <c r="K198"/>
  <c r="AR294"/>
  <c r="AV294"/>
  <c r="AW294"/>
  <c r="AX294"/>
  <c r="AY294"/>
  <c r="AZ294"/>
  <c r="BA294"/>
  <c r="BB294"/>
  <c r="BC294"/>
  <c r="BD294"/>
  <c r="BE294"/>
  <c r="BF294"/>
  <c r="BG294"/>
  <c r="BH294"/>
  <c r="AU294"/>
  <c r="AT294"/>
  <c r="K199"/>
  <c r="AR300"/>
  <c r="AV300"/>
  <c r="AW300"/>
  <c r="AX300"/>
  <c r="AY300"/>
  <c r="AZ300"/>
  <c r="BA300"/>
  <c r="BB300"/>
  <c r="BC300"/>
  <c r="BD300"/>
  <c r="BE300"/>
  <c r="BF300"/>
  <c r="BG300"/>
  <c r="BH300"/>
  <c r="AU300"/>
  <c r="AT300"/>
  <c r="K200"/>
  <c r="AR306"/>
  <c r="AV306"/>
  <c r="AW306"/>
  <c r="AX306"/>
  <c r="AY306"/>
  <c r="AZ306"/>
  <c r="BA306"/>
  <c r="BB306"/>
  <c r="BC306"/>
  <c r="BD306"/>
  <c r="BE306"/>
  <c r="BF306"/>
  <c r="BG306"/>
  <c r="BH306"/>
  <c r="AU306"/>
  <c r="AT306"/>
  <c r="K201"/>
  <c r="AR312"/>
  <c r="AV312"/>
  <c r="AW312"/>
  <c r="AX312"/>
  <c r="AY312"/>
  <c r="AZ312"/>
  <c r="BA312"/>
  <c r="BB312"/>
  <c r="BC312"/>
  <c r="BD312"/>
  <c r="BE312"/>
  <c r="BF312"/>
  <c r="BG312"/>
  <c r="BH312"/>
  <c r="AU312"/>
  <c r="AT312"/>
  <c r="K202"/>
  <c r="AR318"/>
  <c r="AV318"/>
  <c r="AW318"/>
  <c r="AX318"/>
  <c r="AY318"/>
  <c r="AZ318"/>
  <c r="BA318"/>
  <c r="BB318"/>
  <c r="BC318"/>
  <c r="BD318"/>
  <c r="BE318"/>
  <c r="BF318"/>
  <c r="BG318"/>
  <c r="BH318"/>
  <c r="AU318"/>
  <c r="AT318"/>
  <c r="K203"/>
  <c r="AR324"/>
  <c r="AV324"/>
  <c r="AW324"/>
  <c r="AX324"/>
  <c r="AY324"/>
  <c r="AZ324"/>
  <c r="BA324"/>
  <c r="BB324"/>
  <c r="BC324"/>
  <c r="BD324"/>
  <c r="BE324"/>
  <c r="BF324"/>
  <c r="BG324"/>
  <c r="BH324"/>
  <c r="AU324"/>
  <c r="AT324"/>
  <c r="K204"/>
  <c r="AR330"/>
  <c r="AV330"/>
  <c r="AW330"/>
  <c r="AX330"/>
  <c r="AY330"/>
  <c r="AZ330"/>
  <c r="BA330"/>
  <c r="BB330"/>
  <c r="BC330"/>
  <c r="BD330"/>
  <c r="BE330"/>
  <c r="BF330"/>
  <c r="BG330"/>
  <c r="BH330"/>
  <c r="AU330"/>
  <c r="AT330"/>
  <c r="K205"/>
  <c r="AR336"/>
  <c r="AV336"/>
  <c r="AW336"/>
  <c r="AX336"/>
  <c r="AY336"/>
  <c r="AZ336"/>
  <c r="BA336"/>
  <c r="BB336"/>
  <c r="BC336"/>
  <c r="BD336"/>
  <c r="BE336"/>
  <c r="BF336"/>
  <c r="BG336"/>
  <c r="BH336"/>
  <c r="AU336"/>
  <c r="AT336"/>
  <c r="K206"/>
  <c r="AR342"/>
  <c r="AV342"/>
  <c r="AW342"/>
  <c r="AX342"/>
  <c r="AY342"/>
  <c r="AZ342"/>
  <c r="BA342"/>
  <c r="BB342"/>
  <c r="BC342"/>
  <c r="BD342"/>
  <c r="BE342"/>
  <c r="BF342"/>
  <c r="BG342"/>
  <c r="BH342"/>
  <c r="AU342"/>
  <c r="AT342"/>
  <c r="K207"/>
  <c r="AR348"/>
  <c r="AV348"/>
  <c r="AW348"/>
  <c r="AX348"/>
  <c r="AY348"/>
  <c r="AZ348"/>
  <c r="BA348"/>
  <c r="BB348"/>
  <c r="BC348"/>
  <c r="BD348"/>
  <c r="BE348"/>
  <c r="BF348"/>
  <c r="BG348"/>
  <c r="BH348"/>
  <c r="AU348"/>
  <c r="AT348"/>
  <c r="K208"/>
  <c r="AR354"/>
  <c r="AV354"/>
  <c r="AW354"/>
  <c r="AX354"/>
  <c r="AY354"/>
  <c r="AZ354"/>
  <c r="BA354"/>
  <c r="BB354"/>
  <c r="BC354"/>
  <c r="BD354"/>
  <c r="BE354"/>
  <c r="BF354"/>
  <c r="BG354"/>
  <c r="BH354"/>
  <c r="AU354"/>
  <c r="AT354"/>
  <c r="K209"/>
  <c r="K210"/>
  <c r="K211"/>
  <c r="M177"/>
  <c r="M195"/>
  <c r="AR277"/>
  <c r="AV277"/>
  <c r="AW277"/>
  <c r="AX277"/>
  <c r="AY277"/>
  <c r="AZ277"/>
  <c r="BA277"/>
  <c r="BB277"/>
  <c r="BC277"/>
  <c r="BD277"/>
  <c r="BE277"/>
  <c r="BF277"/>
  <c r="BG277"/>
  <c r="BH277"/>
  <c r="AU277"/>
  <c r="AT277"/>
  <c r="M196"/>
  <c r="AR283"/>
  <c r="AV283"/>
  <c r="AW283"/>
  <c r="AX283"/>
  <c r="AY283"/>
  <c r="AZ283"/>
  <c r="BA283"/>
  <c r="BB283"/>
  <c r="BC283"/>
  <c r="BD283"/>
  <c r="BE283"/>
  <c r="BF283"/>
  <c r="BG283"/>
  <c r="BH283"/>
  <c r="AU283"/>
  <c r="AT283"/>
  <c r="M197"/>
  <c r="AR289"/>
  <c r="AV289"/>
  <c r="AW289"/>
  <c r="AX289"/>
  <c r="AY289"/>
  <c r="AZ289"/>
  <c r="BA289"/>
  <c r="BB289"/>
  <c r="BC289"/>
  <c r="BD289"/>
  <c r="BE289"/>
  <c r="BF289"/>
  <c r="BG289"/>
  <c r="BH289"/>
  <c r="AU289"/>
  <c r="AT289"/>
  <c r="M198"/>
  <c r="AR295"/>
  <c r="AV295"/>
  <c r="AW295"/>
  <c r="AX295"/>
  <c r="AY295"/>
  <c r="AZ295"/>
  <c r="BA295"/>
  <c r="BB295"/>
  <c r="BC295"/>
  <c r="BD295"/>
  <c r="BE295"/>
  <c r="BF295"/>
  <c r="BG295"/>
  <c r="BH295"/>
  <c r="AU295"/>
  <c r="AT295"/>
  <c r="M199"/>
  <c r="AR301"/>
  <c r="AV301"/>
  <c r="AW301"/>
  <c r="AX301"/>
  <c r="AY301"/>
  <c r="AZ301"/>
  <c r="BA301"/>
  <c r="BB301"/>
  <c r="BC301"/>
  <c r="BD301"/>
  <c r="BE301"/>
  <c r="BF301"/>
  <c r="BG301"/>
  <c r="BH301"/>
  <c r="AU301"/>
  <c r="AT301"/>
  <c r="M200"/>
  <c r="AR307"/>
  <c r="AV307"/>
  <c r="AW307"/>
  <c r="AX307"/>
  <c r="AY307"/>
  <c r="AZ307"/>
  <c r="BA307"/>
  <c r="BB307"/>
  <c r="BC307"/>
  <c r="BD307"/>
  <c r="BE307"/>
  <c r="BF307"/>
  <c r="BG307"/>
  <c r="BH307"/>
  <c r="AU307"/>
  <c r="AT307"/>
  <c r="M201"/>
  <c r="AR313"/>
  <c r="AV313"/>
  <c r="AW313"/>
  <c r="AX313"/>
  <c r="AY313"/>
  <c r="AZ313"/>
  <c r="BA313"/>
  <c r="BB313"/>
  <c r="BC313"/>
  <c r="BD313"/>
  <c r="BE313"/>
  <c r="BF313"/>
  <c r="BG313"/>
  <c r="BH313"/>
  <c r="AU313"/>
  <c r="AT313"/>
  <c r="M202"/>
  <c r="AR319"/>
  <c r="AV319"/>
  <c r="AW319"/>
  <c r="AX319"/>
  <c r="AY319"/>
  <c r="AZ319"/>
  <c r="BA319"/>
  <c r="BB319"/>
  <c r="BC319"/>
  <c r="BD319"/>
  <c r="BE319"/>
  <c r="BF319"/>
  <c r="BG319"/>
  <c r="BH319"/>
  <c r="AU319"/>
  <c r="AT319"/>
  <c r="M203"/>
  <c r="AR325"/>
  <c r="AV325"/>
  <c r="AW325"/>
  <c r="AX325"/>
  <c r="AY325"/>
  <c r="AZ325"/>
  <c r="BA325"/>
  <c r="BB325"/>
  <c r="BC325"/>
  <c r="BD325"/>
  <c r="BE325"/>
  <c r="BF325"/>
  <c r="BG325"/>
  <c r="BH325"/>
  <c r="AU325"/>
  <c r="AT325"/>
  <c r="M204"/>
  <c r="AR331"/>
  <c r="AV331"/>
  <c r="AW331"/>
  <c r="AX331"/>
  <c r="AY331"/>
  <c r="AZ331"/>
  <c r="BA331"/>
  <c r="BB331"/>
  <c r="BC331"/>
  <c r="BD331"/>
  <c r="BE331"/>
  <c r="BF331"/>
  <c r="BG331"/>
  <c r="BH331"/>
  <c r="AU331"/>
  <c r="AT331"/>
  <c r="M205"/>
  <c r="AR337"/>
  <c r="AV337"/>
  <c r="AW337"/>
  <c r="AX337"/>
  <c r="AY337"/>
  <c r="AZ337"/>
  <c r="BA337"/>
  <c r="BB337"/>
  <c r="BC337"/>
  <c r="BD337"/>
  <c r="BE337"/>
  <c r="BF337"/>
  <c r="BG337"/>
  <c r="BH337"/>
  <c r="AU337"/>
  <c r="AT337"/>
  <c r="M206"/>
  <c r="AR343"/>
  <c r="AV343"/>
  <c r="AW343"/>
  <c r="AX343"/>
  <c r="AY343"/>
  <c r="AZ343"/>
  <c r="BA343"/>
  <c r="BB343"/>
  <c r="BC343"/>
  <c r="BD343"/>
  <c r="BE343"/>
  <c r="BF343"/>
  <c r="BG343"/>
  <c r="BH343"/>
  <c r="AU343"/>
  <c r="AT343"/>
  <c r="M207"/>
  <c r="AR349"/>
  <c r="AV349"/>
  <c r="AW349"/>
  <c r="AX349"/>
  <c r="AY349"/>
  <c r="AZ349"/>
  <c r="BA349"/>
  <c r="BB349"/>
  <c r="BC349"/>
  <c r="BD349"/>
  <c r="BE349"/>
  <c r="BF349"/>
  <c r="BG349"/>
  <c r="BH349"/>
  <c r="AU349"/>
  <c r="AT349"/>
  <c r="M208"/>
  <c r="AR355"/>
  <c r="AV355"/>
  <c r="AW355"/>
  <c r="AX355"/>
  <c r="AY355"/>
  <c r="AZ355"/>
  <c r="BA355"/>
  <c r="BB355"/>
  <c r="BC355"/>
  <c r="BD355"/>
  <c r="BE355"/>
  <c r="BF355"/>
  <c r="BG355"/>
  <c r="BH355"/>
  <c r="AU355"/>
  <c r="AT355"/>
  <c r="M209"/>
  <c r="M210"/>
  <c r="M211"/>
  <c r="EE81"/>
  <c r="EE80"/>
  <c r="EE86"/>
  <c r="EE84"/>
  <c r="EE82"/>
  <c r="EE87"/>
  <c r="EE95"/>
  <c r="P195"/>
  <c r="AR278"/>
  <c r="AV278"/>
  <c r="AW278"/>
  <c r="AX278"/>
  <c r="AY278"/>
  <c r="AZ278"/>
  <c r="BA278"/>
  <c r="BB278"/>
  <c r="BC278"/>
  <c r="BD278"/>
  <c r="BE278"/>
  <c r="BF278"/>
  <c r="BG278"/>
  <c r="BH278"/>
  <c r="AU278"/>
  <c r="AT278"/>
  <c r="P196"/>
  <c r="AR284"/>
  <c r="AV284"/>
  <c r="AW284"/>
  <c r="AX284"/>
  <c r="AY284"/>
  <c r="AZ284"/>
  <c r="BA284"/>
  <c r="BB284"/>
  <c r="BC284"/>
  <c r="BD284"/>
  <c r="BE284"/>
  <c r="BF284"/>
  <c r="BG284"/>
  <c r="BH284"/>
  <c r="AU284"/>
  <c r="AT284"/>
  <c r="P197"/>
  <c r="AR290"/>
  <c r="AV290"/>
  <c r="AW290"/>
  <c r="AX290"/>
  <c r="AY290"/>
  <c r="AZ290"/>
  <c r="BA290"/>
  <c r="BB290"/>
  <c r="BC290"/>
  <c r="BD290"/>
  <c r="BE290"/>
  <c r="BF290"/>
  <c r="BG290"/>
  <c r="BH290"/>
  <c r="AU290"/>
  <c r="AT290"/>
  <c r="P198"/>
  <c r="AR296"/>
  <c r="AV296"/>
  <c r="AW296"/>
  <c r="AX296"/>
  <c r="AY296"/>
  <c r="AZ296"/>
  <c r="BA296"/>
  <c r="BB296"/>
  <c r="BC296"/>
  <c r="BD296"/>
  <c r="BE296"/>
  <c r="BF296"/>
  <c r="BG296"/>
  <c r="BH296"/>
  <c r="AU296"/>
  <c r="AT296"/>
  <c r="P199"/>
  <c r="AR302"/>
  <c r="AV302"/>
  <c r="AW302"/>
  <c r="AX302"/>
  <c r="AY302"/>
  <c r="AZ302"/>
  <c r="BA302"/>
  <c r="BB302"/>
  <c r="BC302"/>
  <c r="BD302"/>
  <c r="BE302"/>
  <c r="BF302"/>
  <c r="BG302"/>
  <c r="BH302"/>
  <c r="AU302"/>
  <c r="AT302"/>
  <c r="P200"/>
  <c r="AR308"/>
  <c r="AV308"/>
  <c r="AW308"/>
  <c r="AX308"/>
  <c r="AY308"/>
  <c r="AZ308"/>
  <c r="BA308"/>
  <c r="BB308"/>
  <c r="BC308"/>
  <c r="BD308"/>
  <c r="BE308"/>
  <c r="BF308"/>
  <c r="BG308"/>
  <c r="BH308"/>
  <c r="AU308"/>
  <c r="AT308"/>
  <c r="P201"/>
  <c r="AR314"/>
  <c r="AV314"/>
  <c r="AW314"/>
  <c r="AX314"/>
  <c r="AY314"/>
  <c r="AZ314"/>
  <c r="BA314"/>
  <c r="BB314"/>
  <c r="BC314"/>
  <c r="BD314"/>
  <c r="BE314"/>
  <c r="BF314"/>
  <c r="BG314"/>
  <c r="BH314"/>
  <c r="AU314"/>
  <c r="AT314"/>
  <c r="P202"/>
  <c r="AR320"/>
  <c r="AV320"/>
  <c r="AW320"/>
  <c r="AX320"/>
  <c r="AY320"/>
  <c r="AZ320"/>
  <c r="BA320"/>
  <c r="BB320"/>
  <c r="BC320"/>
  <c r="BD320"/>
  <c r="BE320"/>
  <c r="BF320"/>
  <c r="BG320"/>
  <c r="BH320"/>
  <c r="AU320"/>
  <c r="AT320"/>
  <c r="P203"/>
  <c r="AR326"/>
  <c r="AV326"/>
  <c r="AW326"/>
  <c r="AX326"/>
  <c r="AY326"/>
  <c r="AZ326"/>
  <c r="BA326"/>
  <c r="BB326"/>
  <c r="BC326"/>
  <c r="BD326"/>
  <c r="BE326"/>
  <c r="BF326"/>
  <c r="BG326"/>
  <c r="BH326"/>
  <c r="AU326"/>
  <c r="AT326"/>
  <c r="P204"/>
  <c r="AR332"/>
  <c r="AV332"/>
  <c r="AW332"/>
  <c r="AX332"/>
  <c r="AY332"/>
  <c r="AZ332"/>
  <c r="BA332"/>
  <c r="BB332"/>
  <c r="BC332"/>
  <c r="BD332"/>
  <c r="BE332"/>
  <c r="BF332"/>
  <c r="BG332"/>
  <c r="BH332"/>
  <c r="AU332"/>
  <c r="AT332"/>
  <c r="P205"/>
  <c r="AR338"/>
  <c r="AV338"/>
  <c r="AW338"/>
  <c r="AX338"/>
  <c r="AY338"/>
  <c r="AZ338"/>
  <c r="BA338"/>
  <c r="BB338"/>
  <c r="BC338"/>
  <c r="BD338"/>
  <c r="BE338"/>
  <c r="BF338"/>
  <c r="BG338"/>
  <c r="BH338"/>
  <c r="AU338"/>
  <c r="AT338"/>
  <c r="P206"/>
  <c r="AR344"/>
  <c r="AV344"/>
  <c r="AW344"/>
  <c r="AX344"/>
  <c r="AY344"/>
  <c r="AZ344"/>
  <c r="BA344"/>
  <c r="BB344"/>
  <c r="BC344"/>
  <c r="BD344"/>
  <c r="BE344"/>
  <c r="BF344"/>
  <c r="BG344"/>
  <c r="BH344"/>
  <c r="AU344"/>
  <c r="AT344"/>
  <c r="P207"/>
  <c r="AR350"/>
  <c r="AV350"/>
  <c r="AW350"/>
  <c r="AX350"/>
  <c r="AY350"/>
  <c r="AZ350"/>
  <c r="BA350"/>
  <c r="BB350"/>
  <c r="BC350"/>
  <c r="BD350"/>
  <c r="BE350"/>
  <c r="BF350"/>
  <c r="BG350"/>
  <c r="BH350"/>
  <c r="AU350"/>
  <c r="AT350"/>
  <c r="P208"/>
  <c r="AR356"/>
  <c r="AV356"/>
  <c r="AW356"/>
  <c r="AX356"/>
  <c r="AY356"/>
  <c r="AZ356"/>
  <c r="BA356"/>
  <c r="BB356"/>
  <c r="BC356"/>
  <c r="BD356"/>
  <c r="BE356"/>
  <c r="BF356"/>
  <c r="BG356"/>
  <c r="BH356"/>
  <c r="AU356"/>
  <c r="AT356"/>
  <c r="EI99"/>
  <c r="EI103"/>
  <c r="EI111"/>
  <c r="AS299"/>
  <c r="AS298"/>
  <c r="AS297"/>
  <c r="AS296"/>
  <c r="AS295"/>
  <c r="AS294"/>
  <c r="AS293"/>
  <c r="AS292"/>
  <c r="AS291"/>
  <c r="AS290"/>
  <c r="AS289"/>
  <c r="AS288"/>
  <c r="AS287"/>
  <c r="AS286"/>
  <c r="AS285"/>
  <c r="AS284"/>
  <c r="AS283"/>
  <c r="AS282"/>
  <c r="AS281"/>
  <c r="AS280"/>
  <c r="AS279"/>
  <c r="AS278"/>
  <c r="AS277"/>
  <c r="AS276"/>
  <c r="AS275"/>
  <c r="AS274"/>
  <c r="AS273"/>
  <c r="AS272"/>
  <c r="AS271"/>
  <c r="AS270"/>
  <c r="AS269"/>
  <c r="AS268"/>
  <c r="AS267"/>
  <c r="AS266"/>
  <c r="AS265"/>
  <c r="AS264"/>
  <c r="AS263"/>
  <c r="AS262"/>
  <c r="AS261"/>
  <c r="AS260"/>
  <c r="AS259"/>
  <c r="AS258"/>
  <c r="AS257"/>
  <c r="AS256"/>
  <c r="AS255"/>
  <c r="AS254"/>
  <c r="AS253"/>
  <c r="AS252"/>
  <c r="AS251"/>
  <c r="AS250"/>
  <c r="AS249"/>
  <c r="AS248"/>
  <c r="AS247"/>
  <c r="AS246"/>
  <c r="AS245"/>
  <c r="AS244"/>
  <c r="AS243"/>
  <c r="AS242"/>
  <c r="AS241"/>
  <c r="AS240"/>
  <c r="AS239"/>
  <c r="AS238"/>
  <c r="AS237"/>
  <c r="AS236"/>
  <c r="AS235"/>
  <c r="AS234"/>
  <c r="AS233"/>
  <c r="AS232"/>
  <c r="AS231"/>
  <c r="AS230"/>
  <c r="AS229"/>
  <c r="AS228"/>
  <c r="AS227"/>
  <c r="AS226"/>
  <c r="AS225"/>
  <c r="AS224"/>
  <c r="AS223"/>
  <c r="AS222"/>
  <c r="AS221"/>
  <c r="AS220"/>
  <c r="AS219"/>
  <c r="AS218"/>
  <c r="AS217"/>
  <c r="AS216"/>
  <c r="AS215"/>
  <c r="AS214"/>
  <c r="AS213"/>
  <c r="AS212"/>
  <c r="AS211"/>
  <c r="AS210"/>
  <c r="AS209"/>
  <c r="AS208"/>
  <c r="AS377"/>
  <c r="AS376"/>
  <c r="AS375"/>
  <c r="AS374"/>
  <c r="AS373"/>
  <c r="AS372"/>
  <c r="AS371"/>
  <c r="AS370"/>
  <c r="AS369"/>
  <c r="AS368"/>
  <c r="AS367"/>
  <c r="AS366"/>
  <c r="AS365"/>
  <c r="AS364"/>
  <c r="AS363"/>
  <c r="AS362"/>
  <c r="AS361"/>
  <c r="AS360"/>
  <c r="AS359"/>
  <c r="AS358"/>
  <c r="AS357"/>
  <c r="AS356"/>
  <c r="AS355"/>
  <c r="AS354"/>
  <c r="AS353"/>
  <c r="AS352"/>
  <c r="AS351"/>
  <c r="AS350"/>
  <c r="AS349"/>
  <c r="AS348"/>
  <c r="AS347"/>
  <c r="AS346"/>
  <c r="AS345"/>
  <c r="AS344"/>
  <c r="AS343"/>
  <c r="AS342"/>
  <c r="AS341"/>
  <c r="AS340"/>
  <c r="AS339"/>
  <c r="AS338"/>
  <c r="AS337"/>
  <c r="AS336"/>
  <c r="AS335"/>
  <c r="AS334"/>
  <c r="AS333"/>
  <c r="AS332"/>
  <c r="AS331"/>
  <c r="AS330"/>
  <c r="AS329"/>
  <c r="AS328"/>
  <c r="AS327"/>
  <c r="AS326"/>
  <c r="AS325"/>
  <c r="AS324"/>
  <c r="AS323"/>
  <c r="AS322"/>
  <c r="AS321"/>
  <c r="AS320"/>
  <c r="AS319"/>
  <c r="AS318"/>
  <c r="AS317"/>
  <c r="AS316"/>
  <c r="AS315"/>
  <c r="AS314"/>
  <c r="AS313"/>
  <c r="AS312"/>
  <c r="AS311"/>
  <c r="AS310"/>
  <c r="AS309"/>
  <c r="AS308"/>
  <c r="AS307"/>
  <c r="AS306"/>
  <c r="AS305"/>
  <c r="AS304"/>
  <c r="AS303"/>
  <c r="AS302"/>
  <c r="AS301"/>
  <c r="AS300"/>
  <c r="CH207"/>
  <c r="CH206"/>
  <c r="BL182"/>
  <c r="BL183"/>
  <c r="BL184"/>
  <c r="BL185"/>
  <c r="BL186"/>
  <c r="BL187"/>
  <c r="BL188"/>
  <c r="BL189"/>
  <c r="BL190"/>
  <c r="BL191"/>
  <c r="BL192"/>
  <c r="BL193"/>
  <c r="BL194"/>
  <c r="BL195"/>
  <c r="BL196"/>
  <c r="BL197"/>
  <c r="BL198"/>
  <c r="BL199"/>
  <c r="BL200"/>
  <c r="BL201"/>
  <c r="BL202"/>
  <c r="BL203"/>
  <c r="BL204"/>
  <c r="BL205"/>
  <c r="BP205"/>
  <c r="CH205"/>
  <c r="BP204"/>
  <c r="CH204"/>
  <c r="BP203"/>
  <c r="CH203"/>
  <c r="BP202"/>
  <c r="CH202"/>
  <c r="BP201"/>
  <c r="CH201"/>
  <c r="BP200"/>
  <c r="CH200"/>
  <c r="BP199"/>
  <c r="CH199"/>
  <c r="BP198"/>
  <c r="CH198"/>
  <c r="BP197"/>
  <c r="CH197"/>
  <c r="BP196"/>
  <c r="CH196"/>
  <c r="BP195"/>
  <c r="CH195"/>
  <c r="BP194"/>
  <c r="CH194"/>
  <c r="BP193"/>
  <c r="CH193"/>
  <c r="BP192"/>
  <c r="CH192"/>
  <c r="BP191"/>
  <c r="CH191"/>
  <c r="BP190"/>
  <c r="CH190"/>
  <c r="BP189"/>
  <c r="CH189"/>
  <c r="BP188"/>
  <c r="CH188"/>
  <c r="BP187"/>
  <c r="CH187"/>
  <c r="BP186"/>
  <c r="CH186"/>
  <c r="BP185"/>
  <c r="CH185"/>
  <c r="BP184"/>
  <c r="BP183"/>
  <c r="BP182"/>
  <c r="CH208"/>
  <c r="BL206"/>
  <c r="BP206"/>
  <c r="P209"/>
  <c r="CH209"/>
  <c r="P210"/>
  <c r="CH210"/>
  <c r="P211"/>
  <c r="CH211"/>
  <c r="P177"/>
  <c r="CG177"/>
  <c r="BW177"/>
  <c r="BV177"/>
  <c r="CA177"/>
  <c r="CB177"/>
  <c r="CC177"/>
  <c r="CD177"/>
  <c r="BZ177"/>
  <c r="BX177"/>
  <c r="R177"/>
  <c r="BV211"/>
  <c r="CA211"/>
  <c r="CB211"/>
  <c r="CC211"/>
  <c r="CD211"/>
  <c r="BZ211"/>
  <c r="BX211"/>
  <c r="R211"/>
  <c r="BW211"/>
  <c r="BV210"/>
  <c r="CA210"/>
  <c r="CB210"/>
  <c r="CC210"/>
  <c r="CD210"/>
  <c r="BZ210"/>
  <c r="BX210"/>
  <c r="R210"/>
  <c r="BW210"/>
  <c r="BV209"/>
  <c r="CA209"/>
  <c r="CB209"/>
  <c r="CC209"/>
  <c r="CD209"/>
  <c r="BZ209"/>
  <c r="BX209"/>
  <c r="R209"/>
  <c r="BW209"/>
  <c r="BV208"/>
  <c r="CA208"/>
  <c r="CB208"/>
  <c r="CC208"/>
  <c r="CD208"/>
  <c r="BZ208"/>
  <c r="BX208"/>
  <c r="R208"/>
  <c r="BW208"/>
  <c r="BV207"/>
  <c r="CA207"/>
  <c r="CB207"/>
  <c r="CC207"/>
  <c r="CD207"/>
  <c r="BZ207"/>
  <c r="BX207"/>
  <c r="R207"/>
  <c r="BW207"/>
  <c r="BN206"/>
  <c r="BV206"/>
  <c r="CA206"/>
  <c r="CB206"/>
  <c r="CC206"/>
  <c r="CD206"/>
  <c r="BZ206"/>
  <c r="BX206"/>
  <c r="R206"/>
  <c r="BW206"/>
  <c r="BN205"/>
  <c r="BV205"/>
  <c r="CA205"/>
  <c r="CB205"/>
  <c r="CC205"/>
  <c r="CD205"/>
  <c r="BZ205"/>
  <c r="BX205"/>
  <c r="R205"/>
  <c r="BW205"/>
  <c r="BN204"/>
  <c r="BV204"/>
  <c r="CA204"/>
  <c r="CB204"/>
  <c r="CC204"/>
  <c r="CD204"/>
  <c r="BZ204"/>
  <c r="BX204"/>
  <c r="R204"/>
  <c r="BW204"/>
  <c r="BN203"/>
  <c r="BV203"/>
  <c r="CA203"/>
  <c r="CB203"/>
  <c r="CC203"/>
  <c r="CD203"/>
  <c r="BZ203"/>
  <c r="BX203"/>
  <c r="R203"/>
  <c r="BW203"/>
  <c r="BN202"/>
  <c r="BV202"/>
  <c r="CA202"/>
  <c r="CB202"/>
  <c r="CC202"/>
  <c r="CD202"/>
  <c r="BZ202"/>
  <c r="BX202"/>
  <c r="R202"/>
  <c r="BW202"/>
  <c r="BN201"/>
  <c r="BV201"/>
  <c r="CA201"/>
  <c r="CB201"/>
  <c r="CC201"/>
  <c r="CD201"/>
  <c r="BZ201"/>
  <c r="BX201"/>
  <c r="R201"/>
  <c r="BW201"/>
  <c r="BN200"/>
  <c r="BV200"/>
  <c r="CA200"/>
  <c r="CB200"/>
  <c r="CC200"/>
  <c r="CD200"/>
  <c r="BZ200"/>
  <c r="BX200"/>
  <c r="R200"/>
  <c r="BW200"/>
  <c r="BN199"/>
  <c r="BV199"/>
  <c r="CA199"/>
  <c r="CB199"/>
  <c r="CC199"/>
  <c r="CD199"/>
  <c r="BZ199"/>
  <c r="BX199"/>
  <c r="R199"/>
  <c r="BW199"/>
  <c r="BN198"/>
  <c r="BV198"/>
  <c r="CA198"/>
  <c r="CB198"/>
  <c r="CC198"/>
  <c r="CD198"/>
  <c r="BZ198"/>
  <c r="BX198"/>
  <c r="R198"/>
  <c r="BW198"/>
  <c r="BN197"/>
  <c r="BV197"/>
  <c r="CA197"/>
  <c r="CB197"/>
  <c r="CC197"/>
  <c r="CD197"/>
  <c r="BZ197"/>
  <c r="BX197"/>
  <c r="R197"/>
  <c r="BW197"/>
  <c r="BN196"/>
  <c r="BV196"/>
  <c r="CA196"/>
  <c r="CB196"/>
  <c r="CC196"/>
  <c r="CD196"/>
  <c r="BZ196"/>
  <c r="BX196"/>
  <c r="R196"/>
  <c r="BW196"/>
  <c r="BN195"/>
  <c r="BV195"/>
  <c r="CA195"/>
  <c r="CB195"/>
  <c r="CC195"/>
  <c r="CD195"/>
  <c r="BZ195"/>
  <c r="BX195"/>
  <c r="R195"/>
  <c r="BW195"/>
  <c r="BN194"/>
  <c r="BV194"/>
  <c r="CA194"/>
  <c r="CB194"/>
  <c r="CC194"/>
  <c r="CD194"/>
  <c r="BZ194"/>
  <c r="BX194"/>
  <c r="R194"/>
  <c r="BW194"/>
  <c r="BN193"/>
  <c r="BV193"/>
  <c r="CA193"/>
  <c r="CB193"/>
  <c r="CC193"/>
  <c r="CD193"/>
  <c r="BZ193"/>
  <c r="BX193"/>
  <c r="R193"/>
  <c r="BW193"/>
  <c r="BN192"/>
  <c r="BV192"/>
  <c r="CA192"/>
  <c r="CB192"/>
  <c r="CC192"/>
  <c r="CD192"/>
  <c r="BZ192"/>
  <c r="BX192"/>
  <c r="R192"/>
  <c r="BW192"/>
  <c r="BN191"/>
  <c r="BV191"/>
  <c r="CA191"/>
  <c r="CB191"/>
  <c r="CC191"/>
  <c r="CD191"/>
  <c r="BZ191"/>
  <c r="BX191"/>
  <c r="R191"/>
  <c r="BW191"/>
  <c r="BN190"/>
  <c r="BV190"/>
  <c r="CA190"/>
  <c r="CB190"/>
  <c r="CC190"/>
  <c r="CD190"/>
  <c r="BZ190"/>
  <c r="BX190"/>
  <c r="R190"/>
  <c r="BW190"/>
  <c r="BN189"/>
  <c r="BV189"/>
  <c r="CA189"/>
  <c r="CB189"/>
  <c r="CC189"/>
  <c r="CD189"/>
  <c r="BZ189"/>
  <c r="BX189"/>
  <c r="R189"/>
  <c r="BW189"/>
  <c r="BN188"/>
  <c r="BV188"/>
  <c r="CA188"/>
  <c r="CB188"/>
  <c r="CC188"/>
  <c r="CD188"/>
  <c r="BZ188"/>
  <c r="BX188"/>
  <c r="R188"/>
  <c r="BW188"/>
  <c r="BN187"/>
  <c r="BV187"/>
  <c r="CA187"/>
  <c r="CB187"/>
  <c r="CC187"/>
  <c r="CD187"/>
  <c r="BZ187"/>
  <c r="BX187"/>
  <c r="R187"/>
  <c r="BW187"/>
  <c r="BN186"/>
  <c r="BV186"/>
  <c r="CA186"/>
  <c r="CB186"/>
  <c r="CC186"/>
  <c r="CD186"/>
  <c r="BZ186"/>
  <c r="BX186"/>
  <c r="R186"/>
  <c r="BW186"/>
  <c r="BN185"/>
  <c r="BV185"/>
  <c r="CA185"/>
  <c r="CB185"/>
  <c r="CC185"/>
  <c r="CD185"/>
  <c r="BZ185"/>
  <c r="BX185"/>
  <c r="R185"/>
  <c r="BW185"/>
  <c r="BN184"/>
  <c r="BN181"/>
  <c r="BW184"/>
  <c r="BV184"/>
  <c r="CA184"/>
  <c r="CB184"/>
  <c r="CC184"/>
  <c r="CD184"/>
  <c r="BZ184"/>
  <c r="BX184"/>
  <c r="R184"/>
  <c r="BN183"/>
  <c r="BN180"/>
  <c r="BW183"/>
  <c r="BV183"/>
  <c r="CA183"/>
  <c r="CB183"/>
  <c r="CC183"/>
  <c r="CD183"/>
  <c r="BZ183"/>
  <c r="BX183"/>
  <c r="R183"/>
  <c r="BN182"/>
  <c r="BN179"/>
  <c r="BW182"/>
  <c r="BV182"/>
  <c r="CA182"/>
  <c r="CB182"/>
  <c r="CC182"/>
  <c r="CD182"/>
  <c r="BZ182"/>
  <c r="BX182"/>
  <c r="R182"/>
  <c r="BN178"/>
  <c r="BW181"/>
  <c r="BV181"/>
  <c r="CA181"/>
  <c r="CB181"/>
  <c r="CC181"/>
  <c r="CD181"/>
  <c r="BZ181"/>
  <c r="BX181"/>
  <c r="R181"/>
  <c r="BN177"/>
  <c r="BW180"/>
  <c r="BV180"/>
  <c r="CA180"/>
  <c r="CB180"/>
  <c r="CC180"/>
  <c r="CD180"/>
  <c r="BZ180"/>
  <c r="BX180"/>
  <c r="R180"/>
  <c r="BW179"/>
  <c r="BV179"/>
  <c r="CA179"/>
  <c r="CB179"/>
  <c r="CC179"/>
  <c r="CD179"/>
  <c r="BZ179"/>
  <c r="BX179"/>
  <c r="R179"/>
  <c r="BV178"/>
  <c r="CA178"/>
  <c r="CB178"/>
  <c r="CC178"/>
  <c r="CD178"/>
  <c r="BZ178"/>
  <c r="BX178"/>
  <c r="R178"/>
  <c r="BW178"/>
  <c r="AI12"/>
  <c r="AE12"/>
  <c r="AD12"/>
  <c r="AG11"/>
  <c r="AF11"/>
  <c r="AI11"/>
  <c r="BP11"/>
  <c r="BX11"/>
  <c r="BV11"/>
  <c r="BT11"/>
  <c r="BR11"/>
  <c r="BN11"/>
  <c r="BL11"/>
  <c r="BK11"/>
  <c r="AE11"/>
  <c r="AD11"/>
  <c r="AI10"/>
  <c r="AG10"/>
  <c r="AF10"/>
  <c r="AE10"/>
  <c r="AD10"/>
  <c r="BQ23"/>
  <c r="BQ22"/>
  <c r="BQ21"/>
  <c r="BQ20"/>
  <c r="BQ19"/>
  <c r="EW49"/>
  <c r="EU49"/>
  <c r="EQ49"/>
  <c r="EK49"/>
  <c r="BP10"/>
  <c r="BX10"/>
  <c r="BV10"/>
  <c r="BT10"/>
  <c r="BR10"/>
  <c r="BN10"/>
  <c r="BL10"/>
  <c r="BK10"/>
  <c r="BY47"/>
  <c r="CA48"/>
  <c r="CA49"/>
  <c r="CA50"/>
  <c r="BZ48"/>
  <c r="BZ49"/>
  <c r="BZ50"/>
  <c r="CE47"/>
  <c r="CE46"/>
  <c r="I45"/>
  <c r="DG34"/>
  <c r="AE39"/>
  <c r="AD39"/>
  <c r="C39"/>
  <c r="I39"/>
  <c r="T85"/>
  <c r="DY85"/>
  <c r="EA85"/>
  <c r="EE85"/>
  <c r="EK85"/>
  <c r="EQ85"/>
  <c r="EU85"/>
  <c r="EW85"/>
  <c r="AI85"/>
  <c r="AH85"/>
  <c r="AG85"/>
  <c r="AF85"/>
  <c r="AE85"/>
  <c r="AD85"/>
  <c r="R85"/>
  <c r="AM85"/>
  <c r="BF22"/>
  <c r="BF21"/>
  <c r="BF117"/>
  <c r="BF118"/>
  <c r="BF119"/>
  <c r="BF116"/>
  <c r="BK6"/>
  <c r="D6"/>
  <c r="F12" i="3"/>
  <c r="F6"/>
  <c r="G6"/>
  <c r="AD33"/>
  <c r="P33"/>
  <c r="E33"/>
  <c r="AD32"/>
  <c r="P32"/>
  <c r="E32"/>
  <c r="AD31"/>
  <c r="P31"/>
  <c r="R31"/>
  <c r="E31"/>
  <c r="AA32"/>
  <c r="AA33"/>
  <c r="AA31"/>
  <c r="X31"/>
  <c r="W31"/>
  <c r="G31"/>
  <c r="G26"/>
  <c r="X33"/>
  <c r="W33"/>
  <c r="G33"/>
  <c r="W32"/>
  <c r="G32"/>
  <c r="R32"/>
  <c r="S32"/>
  <c r="T32"/>
  <c r="U32"/>
  <c r="V32"/>
  <c r="X32"/>
  <c r="R33"/>
  <c r="S33"/>
  <c r="T33"/>
  <c r="U33"/>
  <c r="V33"/>
  <c r="V31"/>
  <c r="U31"/>
  <c r="T31"/>
  <c r="S31"/>
  <c r="F14"/>
  <c r="G39"/>
  <c r="T28"/>
  <c r="R17"/>
  <c r="R18"/>
  <c r="C18"/>
  <c r="F18"/>
  <c r="R19"/>
  <c r="C19"/>
  <c r="F19"/>
  <c r="C20"/>
  <c r="F20"/>
  <c r="C17"/>
  <c r="F17"/>
  <c r="F39"/>
  <c r="C39"/>
  <c r="Q18"/>
  <c r="S18"/>
  <c r="Q19"/>
  <c r="S19"/>
  <c r="S17"/>
  <c r="Q17"/>
  <c r="C41"/>
  <c r="D39"/>
  <c r="P18"/>
  <c r="P19"/>
  <c r="P17"/>
  <c r="D435" i="2"/>
  <c r="D358"/>
  <c r="D359"/>
  <c r="D360"/>
  <c r="D361"/>
  <c r="C359"/>
  <c r="C360"/>
  <c r="C361"/>
  <c r="C358"/>
  <c r="H359"/>
  <c r="H360"/>
  <c r="H361"/>
  <c r="H362"/>
  <c r="H358"/>
  <c r="I521"/>
  <c r="I520"/>
  <c r="D521"/>
  <c r="H108"/>
  <c r="E248"/>
  <c r="E249"/>
  <c r="E250"/>
  <c r="E251"/>
  <c r="B235"/>
  <c r="B236"/>
  <c r="C235"/>
  <c r="C236"/>
  <c r="D235"/>
  <c r="D236"/>
  <c r="F235"/>
  <c r="F236"/>
  <c r="G235"/>
  <c r="G236"/>
  <c r="H235"/>
  <c r="H236"/>
  <c r="I235"/>
  <c r="I236"/>
  <c r="J235"/>
  <c r="J236"/>
  <c r="K236"/>
  <c r="L235"/>
  <c r="L236"/>
  <c r="M235"/>
  <c r="M236"/>
  <c r="N235"/>
  <c r="N236"/>
  <c r="O235"/>
  <c r="O236"/>
  <c r="B237"/>
  <c r="C237"/>
  <c r="D237"/>
  <c r="F237"/>
  <c r="G237"/>
  <c r="H237"/>
  <c r="I237"/>
  <c r="J237"/>
  <c r="K237"/>
  <c r="L237"/>
  <c r="M237"/>
  <c r="N237"/>
  <c r="O237"/>
  <c r="B238"/>
  <c r="C238"/>
  <c r="D238"/>
  <c r="F238"/>
  <c r="G238"/>
  <c r="H238"/>
  <c r="I238"/>
  <c r="J238"/>
  <c r="K238"/>
  <c r="L238"/>
  <c r="M238"/>
  <c r="N238"/>
  <c r="O238"/>
  <c r="D245"/>
  <c r="D246"/>
  <c r="D247"/>
  <c r="D248"/>
  <c r="D249"/>
  <c r="D250"/>
  <c r="D251"/>
  <c r="E196"/>
  <c r="D176"/>
  <c r="D174"/>
  <c r="A513"/>
  <c r="C2"/>
  <c r="C12"/>
  <c r="C11"/>
  <c r="C10"/>
  <c r="C9"/>
  <c r="C8"/>
  <c r="C7"/>
  <c r="C6"/>
  <c r="C5"/>
  <c r="C4"/>
  <c r="C3"/>
  <c r="A12"/>
  <c r="A11"/>
  <c r="A10"/>
  <c r="A9"/>
  <c r="A8"/>
  <c r="A7"/>
  <c r="A6"/>
  <c r="A5"/>
  <c r="A4"/>
  <c r="A3"/>
  <c r="A2"/>
  <c r="B60"/>
  <c r="B59"/>
  <c r="B58"/>
  <c r="B57"/>
  <c r="B56"/>
  <c r="B55"/>
  <c r="B54"/>
  <c r="B53"/>
  <c r="B52"/>
  <c r="A256"/>
  <c r="B163"/>
  <c r="M141"/>
  <c r="M139"/>
  <c r="M138"/>
  <c r="B5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I8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F53"/>
  <c r="F54"/>
  <c r="F55"/>
  <c r="F56"/>
  <c r="F57"/>
  <c r="F58"/>
  <c r="F59"/>
  <c r="F60"/>
  <c r="A325"/>
  <c r="A267"/>
  <c r="A273"/>
  <c r="A276"/>
  <c r="A278"/>
  <c r="A277"/>
  <c r="A279"/>
  <c r="A274"/>
  <c r="A275"/>
  <c r="A270"/>
  <c r="A271"/>
  <c r="A272"/>
  <c r="A268"/>
  <c r="A269"/>
  <c r="B171"/>
  <c r="A171"/>
  <c r="B156"/>
  <c r="B255"/>
  <c r="B325"/>
  <c r="A257"/>
  <c r="A258"/>
  <c r="A259"/>
  <c r="A260"/>
  <c r="A261"/>
  <c r="A262"/>
  <c r="A263"/>
  <c r="A264"/>
  <c r="A265"/>
  <c r="A266"/>
</calcChain>
</file>

<file path=xl/sharedStrings.xml><?xml version="1.0" encoding="utf-8"?>
<sst xmlns="http://schemas.openxmlformats.org/spreadsheetml/2006/main" count="1967" uniqueCount="1149">
  <si>
    <t>Scoops</t>
    <phoneticPr fontId="11" type="noConversion"/>
  </si>
  <si>
    <t>pilot</t>
    <phoneticPr fontId="13" type="noConversion"/>
  </si>
  <si>
    <t>Max J-1 fuel</t>
    <phoneticPr fontId="11" type="noConversion"/>
  </si>
  <si>
    <t>Plasma Gun</t>
    <phoneticPr fontId="11" type="noConversion"/>
  </si>
  <si>
    <t>Wings / Fins</t>
    <phoneticPr fontId="11" type="noConversion"/>
  </si>
  <si>
    <t>Cost</t>
    <phoneticPr fontId="11" type="noConversion"/>
  </si>
  <si>
    <t>INT</t>
    <phoneticPr fontId="11" type="noConversion"/>
  </si>
  <si>
    <t>four</t>
    <phoneticPr fontId="11" type="noConversion"/>
  </si>
  <si>
    <t>W</t>
    <phoneticPr fontId="11" type="noConversion"/>
  </si>
  <si>
    <t>Poss Stage</t>
    <phoneticPr fontId="11" type="noConversion"/>
  </si>
  <si>
    <t>Medical/Emergency Low Berth</t>
    <phoneticPr fontId="11" type="noConversion"/>
  </si>
  <si>
    <t>Pas Freshers, Shared</t>
    <phoneticPr fontId="11" type="noConversion"/>
  </si>
  <si>
    <t>Max Size</t>
    <phoneticPr fontId="11" type="noConversion"/>
  </si>
  <si>
    <t>D</t>
    <phoneticPr fontId="11" type="noConversion"/>
  </si>
  <si>
    <t>Service</t>
    <phoneticPr fontId="11" type="noConversion"/>
  </si>
  <si>
    <t>P</t>
    <phoneticPr fontId="11" type="noConversion"/>
  </si>
  <si>
    <t>Q</t>
    <phoneticPr fontId="11" type="noConversion"/>
  </si>
  <si>
    <t>R</t>
    <phoneticPr fontId="11" type="noConversion"/>
  </si>
  <si>
    <t>S</t>
    <phoneticPr fontId="11" type="noConversion"/>
  </si>
  <si>
    <t>Deployable (De)</t>
    <phoneticPr fontId="11" type="noConversion"/>
  </si>
  <si>
    <t>Missile</t>
  </si>
  <si>
    <t>Niche</t>
    <phoneticPr fontId="11" type="noConversion"/>
  </si>
  <si>
    <t>Armour</t>
    <phoneticPr fontId="11" type="noConversion"/>
  </si>
  <si>
    <t>Long2</t>
    <phoneticPr fontId="11" type="noConversion"/>
  </si>
  <si>
    <t>Hop</t>
  </si>
  <si>
    <t>H</t>
  </si>
  <si>
    <t>Skip</t>
  </si>
  <si>
    <t>Wheels</t>
    <phoneticPr fontId="11" type="noConversion"/>
  </si>
  <si>
    <t>Fo</t>
    <phoneticPr fontId="11" type="noConversion"/>
  </si>
  <si>
    <t>Subhull</t>
    <phoneticPr fontId="11" type="noConversion"/>
  </si>
  <si>
    <t>J Size</t>
    <phoneticPr fontId="11" type="noConversion"/>
  </si>
  <si>
    <t>Cramped</t>
    <phoneticPr fontId="11" type="noConversion"/>
  </si>
  <si>
    <t>T</t>
    <phoneticPr fontId="11" type="noConversion"/>
  </si>
  <si>
    <t>Tractor/Pressor</t>
    <phoneticPr fontId="11" type="noConversion"/>
  </si>
  <si>
    <t>Passengers:</t>
    <phoneticPr fontId="11" type="noConversion"/>
  </si>
  <si>
    <t>Steerage:</t>
    <phoneticPr fontId="11" type="noConversion"/>
  </si>
  <si>
    <t>Hit Locations</t>
    <phoneticPr fontId="11" type="noConversion"/>
  </si>
  <si>
    <t>Invalid Mount</t>
    <phoneticPr fontId="11" type="noConversion"/>
  </si>
  <si>
    <t>Jump Bubble</t>
    <phoneticPr fontId="11" type="noConversion"/>
  </si>
  <si>
    <t>Plate</t>
    <phoneticPr fontId="11" type="noConversion"/>
  </si>
  <si>
    <t>Shell</t>
    <phoneticPr fontId="11" type="noConversion"/>
  </si>
  <si>
    <t>CommPlus</t>
  </si>
  <si>
    <t>Grapple</t>
  </si>
  <si>
    <t>Shuttle</t>
    <phoneticPr fontId="11" type="noConversion"/>
  </si>
  <si>
    <t>Mid</t>
    <phoneticPr fontId="11" type="noConversion"/>
  </si>
  <si>
    <t>None</t>
    <phoneticPr fontId="11" type="noConversion"/>
  </si>
  <si>
    <t>Bas</t>
    <phoneticPr fontId="11" type="noConversion"/>
  </si>
  <si>
    <t>5000 km</t>
    <phoneticPr fontId="11" type="noConversion"/>
  </si>
  <si>
    <t>T1</t>
    <phoneticPr fontId="11" type="noConversion"/>
  </si>
  <si>
    <t>Overtonnage</t>
    <phoneticPr fontId="11" type="noConversion"/>
  </si>
  <si>
    <t>AV</t>
    <phoneticPr fontId="11" type="noConversion"/>
  </si>
  <si>
    <t>Surface/Bolt-in</t>
    <phoneticPr fontId="11" type="noConversion"/>
  </si>
  <si>
    <t>Wings &amp; Fins</t>
    <phoneticPr fontId="11" type="noConversion"/>
  </si>
  <si>
    <t>Heat/Burn</t>
    <phoneticPr fontId="11" type="noConversion"/>
  </si>
  <si>
    <t>Press</t>
    <phoneticPr fontId="11" type="noConversion"/>
  </si>
  <si>
    <t>Smart (10)</t>
    <phoneticPr fontId="11" type="noConversion"/>
  </si>
  <si>
    <t>Cost</t>
    <phoneticPr fontId="11" type="noConversion"/>
  </si>
  <si>
    <t>flight crew</t>
    <phoneticPr fontId="13" type="noConversion"/>
  </si>
  <si>
    <t>Standard</t>
    <phoneticPr fontId="11" type="noConversion"/>
  </si>
  <si>
    <t>Fix Heat</t>
    <phoneticPr fontId="11" type="noConversion"/>
  </si>
  <si>
    <t>Range Effects</t>
    <phoneticPr fontId="11" type="noConversion"/>
  </si>
  <si>
    <t>∆R</t>
    <phoneticPr fontId="11" type="noConversion"/>
  </si>
  <si>
    <t>Stasis</t>
    <phoneticPr fontId="11" type="noConversion"/>
  </si>
  <si>
    <t>Command</t>
    <phoneticPr fontId="11" type="noConversion"/>
  </si>
  <si>
    <t>Needed Size</t>
    <phoneticPr fontId="11" type="noConversion"/>
  </si>
  <si>
    <t>Improved</t>
    <phoneticPr fontId="11" type="noConversion"/>
  </si>
  <si>
    <t>Attack3</t>
    <phoneticPr fontId="11" type="noConversion"/>
  </si>
  <si>
    <t>Rat</t>
    <phoneticPr fontId="11" type="noConversion"/>
  </si>
  <si>
    <t>Grapple</t>
    <phoneticPr fontId="11" type="noConversion"/>
  </si>
  <si>
    <t>Size</t>
    <phoneticPr fontId="11" type="noConversion"/>
  </si>
  <si>
    <t>T2</t>
    <phoneticPr fontId="11" type="noConversion"/>
  </si>
  <si>
    <t>Triple</t>
    <phoneticPr fontId="11" type="noConversion"/>
  </si>
  <si>
    <t>T3</t>
    <phoneticPr fontId="11" type="noConversion"/>
  </si>
  <si>
    <t>Dt / Subcomp</t>
    <phoneticPr fontId="11" type="noConversion"/>
  </si>
  <si>
    <t>Ste Freshers, Common</t>
    <phoneticPr fontId="11" type="noConversion"/>
  </si>
  <si>
    <t>PAYLOAD</t>
    <phoneticPr fontId="13" type="noConversion"/>
  </si>
  <si>
    <t>Req Op Power</t>
    <phoneticPr fontId="11" type="noConversion"/>
  </si>
  <si>
    <t>Drive TL</t>
    <phoneticPr fontId="11" type="noConversion"/>
  </si>
  <si>
    <t>Hits</t>
    <phoneticPr fontId="11" type="noConversion"/>
  </si>
  <si>
    <t>No effect, b2p74</t>
    <phoneticPr fontId="11" type="noConversion"/>
  </si>
  <si>
    <t>TL</t>
    <phoneticPr fontId="11" type="noConversion"/>
  </si>
  <si>
    <t>Max Drive TL</t>
    <phoneticPr fontId="11" type="noConversion"/>
  </si>
  <si>
    <t>Ton Mod</t>
    <phoneticPr fontId="11" type="noConversion"/>
  </si>
  <si>
    <t>Screens</t>
    <phoneticPr fontId="11" type="noConversion"/>
  </si>
  <si>
    <t>Neutrino Sensor</t>
  </si>
  <si>
    <t>Burn</t>
    <phoneticPr fontId="11" type="noConversion"/>
  </si>
  <si>
    <t>Powered</t>
    <phoneticPr fontId="11" type="noConversion"/>
  </si>
  <si>
    <t>PERFORMANCE</t>
    <phoneticPr fontId="13" type="noConversion"/>
  </si>
  <si>
    <t>Heavy Cruiser</t>
    <phoneticPr fontId="11" type="noConversion"/>
  </si>
  <si>
    <t>Battlecruiser</t>
    <phoneticPr fontId="11" type="noConversion"/>
  </si>
  <si>
    <t>Drives</t>
    <phoneticPr fontId="13" type="noConversion"/>
  </si>
  <si>
    <t>50 000 km</t>
    <phoneticPr fontId="11" type="noConversion"/>
  </si>
  <si>
    <t>Attack2</t>
    <phoneticPr fontId="11" type="noConversion"/>
  </si>
  <si>
    <t>Long</t>
    <phoneticPr fontId="11" type="noConversion"/>
  </si>
  <si>
    <t>500 m</t>
    <phoneticPr fontId="11" type="noConversion"/>
  </si>
  <si>
    <t>Freight</t>
    <phoneticPr fontId="11" type="noConversion"/>
  </si>
  <si>
    <t>Pinnace</t>
    <phoneticPr fontId="11" type="noConversion"/>
  </si>
  <si>
    <t>Fold Fons</t>
    <phoneticPr fontId="11" type="noConversion"/>
  </si>
  <si>
    <t>Rng</t>
    <phoneticPr fontId="11" type="noConversion"/>
  </si>
  <si>
    <t>Rng±0, TL±0</t>
    <phoneticPr fontId="11" type="noConversion"/>
  </si>
  <si>
    <t>gunner</t>
    <phoneticPr fontId="13" type="noConversion"/>
  </si>
  <si>
    <t>specialist</t>
    <phoneticPr fontId="13" type="noConversion"/>
  </si>
  <si>
    <t>Jump Grid/Bubble</t>
    <phoneticPr fontId="11" type="noConversion"/>
  </si>
  <si>
    <t>fib/phot</t>
    <phoneticPr fontId="11" type="noConversion"/>
  </si>
  <si>
    <t xml:space="preserve">    Sensor &amp; EW</t>
    <phoneticPr fontId="11" type="noConversion"/>
  </si>
  <si>
    <t>Fix Heat</t>
    <phoneticPr fontId="11" type="noConversion"/>
  </si>
  <si>
    <t>Result EP</t>
    <phoneticPr fontId="11" type="noConversion"/>
  </si>
  <si>
    <t>Trac</t>
    <phoneticPr fontId="11" type="noConversion"/>
  </si>
  <si>
    <t>Ship</t>
    <phoneticPr fontId="11" type="noConversion"/>
  </si>
  <si>
    <t>Mount:</t>
    <phoneticPr fontId="11" type="noConversion"/>
  </si>
  <si>
    <t>Hull Overtonnage</t>
    <phoneticPr fontId="11" type="noConversion"/>
  </si>
  <si>
    <t>flight crew</t>
    <phoneticPr fontId="13" type="noConversion"/>
  </si>
  <si>
    <t>Streamlined</t>
    <phoneticPr fontId="11" type="noConversion"/>
  </si>
  <si>
    <t>TotalTonn</t>
    <phoneticPr fontId="11" type="noConversion"/>
  </si>
  <si>
    <t>Structure</t>
    <phoneticPr fontId="11" type="noConversion"/>
  </si>
  <si>
    <t>Early</t>
    <phoneticPr fontId="11" type="noConversion"/>
  </si>
  <si>
    <t>Drives</t>
    <phoneticPr fontId="11" type="noConversion"/>
  </si>
  <si>
    <t>Stasis Globe</t>
    <phoneticPr fontId="11" type="noConversion"/>
  </si>
  <si>
    <t>Vehicles</t>
    <phoneticPr fontId="13" type="noConversion"/>
  </si>
  <si>
    <t>Minimal (2)</t>
    <phoneticPr fontId="11" type="noConversion"/>
  </si>
  <si>
    <t>Col:</t>
    <phoneticPr fontId="11" type="noConversion"/>
  </si>
  <si>
    <t>Selected drive (same calc as I30-34 w/o efficiency mod)</t>
    <phoneticPr fontId="11" type="noConversion"/>
  </si>
  <si>
    <t>De</t>
    <phoneticPr fontId="11" type="noConversion"/>
  </si>
  <si>
    <t>X8</t>
  </si>
  <si>
    <t>Pen</t>
    <phoneticPr fontId="11" type="noConversion"/>
  </si>
  <si>
    <t>SP</t>
    <phoneticPr fontId="11" type="noConversion"/>
  </si>
  <si>
    <t>Shuttle, Fast</t>
    <phoneticPr fontId="11" type="noConversion"/>
  </si>
  <si>
    <t>Black Globe</t>
  </si>
  <si>
    <t>Staterooms</t>
    <phoneticPr fontId="11" type="noConversion"/>
  </si>
  <si>
    <t>Fixed AV</t>
    <phoneticPr fontId="11" type="noConversion"/>
  </si>
  <si>
    <t>Wings</t>
    <phoneticPr fontId="11" type="noConversion"/>
  </si>
  <si>
    <t>Cargo</t>
    <phoneticPr fontId="11" type="noConversion"/>
  </si>
  <si>
    <t>Jump</t>
    <phoneticPr fontId="11" type="noConversion"/>
  </si>
  <si>
    <t>Drives</t>
    <phoneticPr fontId="11" type="noConversion"/>
  </si>
  <si>
    <t>Text</t>
    <phoneticPr fontId="11" type="noConversion"/>
  </si>
  <si>
    <t>Craft</t>
    <phoneticPr fontId="11" type="noConversion"/>
  </si>
  <si>
    <t>gunner</t>
    <phoneticPr fontId="13" type="noConversion"/>
  </si>
  <si>
    <t>Finns</t>
    <phoneticPr fontId="11" type="noConversion"/>
  </si>
  <si>
    <t>None</t>
    <phoneticPr fontId="11" type="noConversion"/>
  </si>
  <si>
    <t>Total Cost MCr</t>
    <phoneticPr fontId="11" type="noConversion"/>
  </si>
  <si>
    <t>Ship</t>
    <phoneticPr fontId="11" type="noConversion"/>
  </si>
  <si>
    <t>SH</t>
    <phoneticPr fontId="11" type="noConversion"/>
  </si>
  <si>
    <t>Generic Ship</t>
    <phoneticPr fontId="11" type="noConversion"/>
  </si>
  <si>
    <t>Spacer Bunks (2)</t>
    <phoneticPr fontId="11" type="noConversion"/>
  </si>
  <si>
    <t>Spacer Hotbunks (6)</t>
    <phoneticPr fontId="11" type="noConversion"/>
  </si>
  <si>
    <t>Spacer Niche (1)</t>
  </si>
  <si>
    <t>Spacer Niche (1)</t>
    <phoneticPr fontId="11" type="noConversion"/>
  </si>
  <si>
    <t>Squad (5)</t>
    <phoneticPr fontId="11" type="noConversion"/>
  </si>
  <si>
    <t>Platoon (22)</t>
    <phoneticPr fontId="11" type="noConversion"/>
  </si>
  <si>
    <t>Company (70)</t>
    <phoneticPr fontId="11" type="noConversion"/>
  </si>
  <si>
    <t>Double</t>
  </si>
  <si>
    <t>Valid</t>
    <phoneticPr fontId="11" type="noConversion"/>
  </si>
  <si>
    <t>VLiteMetal</t>
    <phoneticPr fontId="11" type="noConversion"/>
  </si>
  <si>
    <t># needed</t>
    <phoneticPr fontId="11" type="noConversion"/>
  </si>
  <si>
    <t>Z9</t>
  </si>
  <si>
    <t>A</t>
    <phoneticPr fontId="11" type="noConversion"/>
  </si>
  <si>
    <t>R</t>
    <phoneticPr fontId="11" type="noConversion"/>
  </si>
  <si>
    <t>Reflec</t>
    <phoneticPr fontId="11" type="noConversion"/>
  </si>
  <si>
    <t>Panels</t>
    <phoneticPr fontId="11" type="noConversion"/>
  </si>
  <si>
    <t xml:space="preserve">    Maintenance</t>
    <phoneticPr fontId="11" type="noConversion"/>
  </si>
  <si>
    <t>MinMount</t>
    <phoneticPr fontId="11" type="noConversion"/>
  </si>
  <si>
    <t>External</t>
    <phoneticPr fontId="11" type="noConversion"/>
  </si>
  <si>
    <t>Mount</t>
    <phoneticPr fontId="11" type="noConversion"/>
  </si>
  <si>
    <t>Quad</t>
    <phoneticPr fontId="11" type="noConversion"/>
  </si>
  <si>
    <t>External Craft</t>
    <phoneticPr fontId="11" type="noConversion"/>
  </si>
  <si>
    <t>Cost (EDU=2)</t>
    <phoneticPr fontId="11" type="noConversion"/>
  </si>
  <si>
    <t>Skill Prim</t>
    <phoneticPr fontId="11" type="noConversion"/>
  </si>
  <si>
    <t>EDU</t>
    <phoneticPr fontId="11" type="noConversion"/>
  </si>
  <si>
    <t>Skill</t>
    <phoneticPr fontId="11" type="noConversion"/>
  </si>
  <si>
    <t>Skill, Sec</t>
    <phoneticPr fontId="11" type="noConversion"/>
  </si>
  <si>
    <t>Educated</t>
    <phoneticPr fontId="11" type="noConversion"/>
  </si>
  <si>
    <t>Minimal (2)</t>
  </si>
  <si>
    <t>Revenue / Jump</t>
    <phoneticPr fontId="11" type="noConversion"/>
  </si>
  <si>
    <t>Hangar</t>
    <phoneticPr fontId="11" type="noConversion"/>
  </si>
  <si>
    <t>SLM Hybrid</t>
  </si>
  <si>
    <t>Hangar</t>
    <phoneticPr fontId="11" type="noConversion"/>
  </si>
  <si>
    <t>three</t>
    <phoneticPr fontId="11" type="noConversion"/>
  </si>
  <si>
    <t>Hull not full</t>
    <phoneticPr fontId="11" type="noConversion"/>
  </si>
  <si>
    <t>N2</t>
  </si>
  <si>
    <t>Stage</t>
    <phoneticPr fontId="11" type="noConversion"/>
  </si>
  <si>
    <t>Launch</t>
    <phoneticPr fontId="11" type="noConversion"/>
  </si>
  <si>
    <t>TL Max Comp:</t>
    <phoneticPr fontId="11" type="noConversion"/>
  </si>
  <si>
    <t>Total overtonnage</t>
    <phoneticPr fontId="11" type="noConversion"/>
  </si>
  <si>
    <t>Agility -1</t>
    <phoneticPr fontId="11" type="noConversion"/>
  </si>
  <si>
    <t>Agility ±0</t>
    <phoneticPr fontId="11" type="noConversion"/>
  </si>
  <si>
    <t>eight</t>
    <phoneticPr fontId="11" type="noConversion"/>
  </si>
  <si>
    <t>nine</t>
    <phoneticPr fontId="11" type="noConversion"/>
  </si>
  <si>
    <t>Pres</t>
    <phoneticPr fontId="11" type="noConversion"/>
  </si>
  <si>
    <t>Agility +2</t>
    <phoneticPr fontId="11" type="noConversion"/>
  </si>
  <si>
    <t>Over/Undertonnage</t>
    <phoneticPr fontId="11" type="noConversion"/>
  </si>
  <si>
    <t>JumpBub Locs</t>
    <phoneticPr fontId="11" type="noConversion"/>
  </si>
  <si>
    <t>Reliability</t>
    <phoneticPr fontId="11" type="noConversion"/>
  </si>
  <si>
    <t>Life Support:</t>
    <phoneticPr fontId="11" type="noConversion"/>
  </si>
  <si>
    <t>R=</t>
    <phoneticPr fontId="11" type="noConversion"/>
  </si>
  <si>
    <t>Crew</t>
    <phoneticPr fontId="11" type="noConversion"/>
  </si>
  <si>
    <t>U</t>
    <phoneticPr fontId="11" type="noConversion"/>
  </si>
  <si>
    <t>TL after range</t>
    <phoneticPr fontId="11" type="noConversion"/>
  </si>
  <si>
    <t>NS</t>
    <phoneticPr fontId="11" type="noConversion"/>
  </si>
  <si>
    <t>TL</t>
    <phoneticPr fontId="11" type="noConversion"/>
  </si>
  <si>
    <t>Vd</t>
    <phoneticPr fontId="11" type="noConversion"/>
  </si>
  <si>
    <t>Interior/Hold</t>
    <phoneticPr fontId="11" type="noConversion"/>
  </si>
  <si>
    <t>Console, Control</t>
    <phoneticPr fontId="11" type="noConversion"/>
  </si>
  <si>
    <t>Spacious</t>
    <phoneticPr fontId="11" type="noConversion"/>
  </si>
  <si>
    <t>End</t>
    <phoneticPr fontId="11" type="noConversion"/>
  </si>
  <si>
    <t>Anti-Kinetic</t>
    <phoneticPr fontId="11" type="noConversion"/>
  </si>
  <si>
    <t>Antenna, Big</t>
    <phoneticPr fontId="11" type="noConversion"/>
  </si>
  <si>
    <t>Visor</t>
    <phoneticPr fontId="11" type="noConversion"/>
  </si>
  <si>
    <t>steward</t>
    <phoneticPr fontId="13" type="noConversion"/>
  </si>
  <si>
    <t>Screens</t>
    <phoneticPr fontId="11" type="noConversion"/>
  </si>
  <si>
    <t>five</t>
    <phoneticPr fontId="11" type="noConversion"/>
  </si>
  <si>
    <t>Frict</t>
    <phoneticPr fontId="11" type="noConversion"/>
  </si>
  <si>
    <t>Category</t>
    <phoneticPr fontId="11" type="noConversion"/>
  </si>
  <si>
    <t>Size</t>
    <phoneticPr fontId="13" type="noConversion"/>
  </si>
  <si>
    <t>Best</t>
    <phoneticPr fontId="11" type="noConversion"/>
  </si>
  <si>
    <t>Jump Field</t>
    <phoneticPr fontId="11" type="noConversion"/>
  </si>
  <si>
    <t>Brain INT:</t>
    <phoneticPr fontId="11" type="noConversion"/>
  </si>
  <si>
    <t>Dumb (4)</t>
  </si>
  <si>
    <t>Code</t>
    <phoneticPr fontId="11" type="noConversion"/>
  </si>
  <si>
    <t>Silver Globe</t>
    <phoneticPr fontId="11" type="noConversion"/>
  </si>
  <si>
    <t>Gravitic</t>
  </si>
  <si>
    <t>Ste Common Areas</t>
    <phoneticPr fontId="11" type="noConversion"/>
  </si>
  <si>
    <t>Charged</t>
    <phoneticPr fontId="11" type="noConversion"/>
  </si>
  <si>
    <t>Centralised Power</t>
    <phoneticPr fontId="11" type="noConversion"/>
  </si>
  <si>
    <t>Regenerating</t>
    <phoneticPr fontId="11" type="noConversion"/>
  </si>
  <si>
    <t>Slick</t>
    <phoneticPr fontId="11" type="noConversion"/>
  </si>
  <si>
    <t>A ·</t>
    <phoneticPr fontId="11" type="noConversion"/>
  </si>
  <si>
    <t>Fix Rad</t>
    <phoneticPr fontId="11" type="noConversion"/>
  </si>
  <si>
    <t>TL</t>
    <phoneticPr fontId="11" type="noConversion"/>
  </si>
  <si>
    <t>Y2</t>
  </si>
  <si>
    <t>Z2</t>
  </si>
  <si>
    <t>HullMetal</t>
    <phoneticPr fontId="11" type="noConversion"/>
  </si>
  <si>
    <t>Gunner</t>
    <phoneticPr fontId="11" type="noConversion"/>
  </si>
  <si>
    <t>S</t>
  </si>
  <si>
    <t>NAFAL</t>
  </si>
  <si>
    <t>N</t>
  </si>
  <si>
    <t>M</t>
  </si>
  <si>
    <t>Drive Capacity</t>
    <phoneticPr fontId="11" type="noConversion"/>
  </si>
  <si>
    <t>Cargo Shuttle</t>
    <phoneticPr fontId="11" type="noConversion"/>
  </si>
  <si>
    <t>S3</t>
  </si>
  <si>
    <t>Enough Power</t>
    <phoneticPr fontId="11" type="noConversion"/>
  </si>
  <si>
    <t>BS</t>
    <phoneticPr fontId="11" type="noConversion"/>
  </si>
  <si>
    <t>Hardp</t>
    <phoneticPr fontId="11" type="noConversion"/>
  </si>
  <si>
    <t>Y9</t>
  </si>
  <si>
    <t>Prototype</t>
    <phoneticPr fontId="11" type="noConversion"/>
  </si>
  <si>
    <t>Pro</t>
    <phoneticPr fontId="11" type="noConversion"/>
  </si>
  <si>
    <t>Q</t>
    <phoneticPr fontId="11" type="noConversion"/>
  </si>
  <si>
    <t>troop</t>
    <phoneticPr fontId="13" type="noConversion"/>
  </si>
  <si>
    <t>Safety</t>
    <phoneticPr fontId="11" type="noConversion"/>
  </si>
  <si>
    <t>SE</t>
    <phoneticPr fontId="11" type="noConversion"/>
  </si>
  <si>
    <t>Structure Armour Type</t>
    <phoneticPr fontId="11" type="noConversion"/>
  </si>
  <si>
    <t>Aluminum</t>
    <phoneticPr fontId="11" type="noConversion"/>
  </si>
  <si>
    <t>Plate</t>
    <phoneticPr fontId="11" type="noConversion"/>
  </si>
  <si>
    <t>TL</t>
    <phoneticPr fontId="11" type="noConversion"/>
  </si>
  <si>
    <t>Fold Fons</t>
    <phoneticPr fontId="11" type="noConversion"/>
  </si>
  <si>
    <t>p276: ... wings and fins are added to the Hull tonnage. … wing and Fin tonnage is also available for other uses: hollow Wings may also be assigned as fuel tankage, …</t>
    <phoneticPr fontId="11" type="noConversion"/>
  </si>
  <si>
    <t>Genius (14)</t>
    <phoneticPr fontId="11" type="noConversion"/>
  </si>
  <si>
    <t>Cost Pos TL12</t>
    <phoneticPr fontId="11" type="noConversion"/>
  </si>
  <si>
    <t>Value</t>
    <phoneticPr fontId="11" type="noConversion"/>
  </si>
  <si>
    <t>Text</t>
    <phoneticPr fontId="11" type="noConversion"/>
  </si>
  <si>
    <t>fib / phot</t>
    <phoneticPr fontId="11" type="noConversion"/>
  </si>
  <si>
    <t>TL</t>
    <phoneticPr fontId="11" type="noConversion"/>
  </si>
  <si>
    <t>Fittings</t>
    <phoneticPr fontId="11" type="noConversion"/>
  </si>
  <si>
    <t>Planetiod</t>
    <phoneticPr fontId="11" type="noConversion"/>
  </si>
  <si>
    <t>Req HEP Power</t>
    <phoneticPr fontId="11" type="noConversion"/>
  </si>
  <si>
    <t>Comp</t>
    <phoneticPr fontId="11" type="noConversion"/>
  </si>
  <si>
    <t>Yearly yield on downpayment</t>
    <phoneticPr fontId="11" type="noConversion"/>
  </si>
  <si>
    <t>Fuel</t>
    <phoneticPr fontId="11" type="noConversion"/>
  </si>
  <si>
    <t>Ext</t>
    <phoneticPr fontId="11" type="noConversion"/>
  </si>
  <si>
    <t xml:space="preserve"> </t>
  </si>
  <si>
    <t>S=</t>
    <phoneticPr fontId="11" type="noConversion"/>
  </si>
  <si>
    <t>TL</t>
    <phoneticPr fontId="11" type="noConversion"/>
  </si>
  <si>
    <t>Ear</t>
    <phoneticPr fontId="11" type="noConversion"/>
  </si>
  <si>
    <t xml:space="preserve">    Admin</t>
    <phoneticPr fontId="11" type="noConversion"/>
  </si>
  <si>
    <t>Custom Air Lock</t>
    <phoneticPr fontId="11" type="noConversion"/>
  </si>
  <si>
    <t>Cost</t>
  </si>
  <si>
    <t xml:space="preserve">    Astrogator</t>
    <phoneticPr fontId="11" type="noConversion"/>
  </si>
  <si>
    <t>Computer</t>
    <phoneticPr fontId="11" type="noConversion"/>
  </si>
  <si>
    <t>Comfort</t>
    <phoneticPr fontId="11" type="noConversion"/>
  </si>
  <si>
    <t>SuperDense</t>
    <phoneticPr fontId="11" type="noConversion"/>
  </si>
  <si>
    <t>TL Max Drive:</t>
    <phoneticPr fontId="11" type="noConversion"/>
  </si>
  <si>
    <t>Consoles</t>
    <phoneticPr fontId="11" type="noConversion"/>
  </si>
  <si>
    <t>Inducer</t>
    <phoneticPr fontId="11" type="noConversion"/>
  </si>
  <si>
    <t>Agility +1</t>
    <phoneticPr fontId="11" type="noConversion"/>
  </si>
  <si>
    <t>Y7</t>
  </si>
  <si>
    <t>50 km</t>
    <phoneticPr fontId="11" type="noConversion"/>
  </si>
  <si>
    <t>Partially</t>
    <phoneticPr fontId="13" type="noConversion"/>
  </si>
  <si>
    <t>Stage</t>
    <phoneticPr fontId="11" type="noConversion"/>
  </si>
  <si>
    <t>Deep Radar</t>
    <phoneticPr fontId="11" type="noConversion"/>
  </si>
  <si>
    <t>Densitomerter</t>
    <phoneticPr fontId="11" type="noConversion"/>
  </si>
  <si>
    <t>Auto-counsellor</t>
    <phoneticPr fontId="11" type="noConversion"/>
  </si>
  <si>
    <t>H</t>
    <phoneticPr fontId="11" type="noConversion"/>
  </si>
  <si>
    <t>TYPE</t>
    <phoneticPr fontId="13" type="noConversion"/>
  </si>
  <si>
    <t>Low</t>
    <phoneticPr fontId="11" type="noConversion"/>
  </si>
  <si>
    <t>Y8</t>
  </si>
  <si>
    <t>Leap</t>
    <phoneticPr fontId="11" type="noConversion"/>
  </si>
  <si>
    <t>(not Org)</t>
    <phoneticPr fontId="11" type="noConversion"/>
  </si>
  <si>
    <t>Book 2 p87</t>
    <phoneticPr fontId="11" type="noConversion"/>
  </si>
  <si>
    <t>Example</t>
    <phoneticPr fontId="11" type="noConversion"/>
  </si>
  <si>
    <t>Dense</t>
    <phoneticPr fontId="11" type="noConversion"/>
  </si>
  <si>
    <t>Titanium</t>
    <phoneticPr fontId="11" type="noConversion"/>
  </si>
  <si>
    <t>Cr Staterooms</t>
    <phoneticPr fontId="11" type="noConversion"/>
  </si>
  <si>
    <t>X4</t>
  </si>
  <si>
    <t>Y4</t>
  </si>
  <si>
    <t>Z4</t>
  </si>
  <si>
    <t>V5</t>
  </si>
  <si>
    <t>HullMetal</t>
    <phoneticPr fontId="11" type="noConversion"/>
  </si>
  <si>
    <t>Select dr TL</t>
    <phoneticPr fontId="11" type="noConversion"/>
  </si>
  <si>
    <t>Crew Quarters</t>
    <phoneticPr fontId="11" type="noConversion"/>
  </si>
  <si>
    <t>500 Gm</t>
    <phoneticPr fontId="11" type="noConversion"/>
  </si>
  <si>
    <t>Carried Craft</t>
    <phoneticPr fontId="11" type="noConversion"/>
  </si>
  <si>
    <t>engineer</t>
    <phoneticPr fontId="13" type="noConversion"/>
  </si>
  <si>
    <t>Adv</t>
    <phoneticPr fontId="11" type="noConversion"/>
  </si>
  <si>
    <t>Ultimate</t>
    <phoneticPr fontId="11" type="noConversion"/>
  </si>
  <si>
    <t>BF</t>
    <phoneticPr fontId="11" type="noConversion"/>
  </si>
  <si>
    <t>Holovisor</t>
    <phoneticPr fontId="11" type="noConversion"/>
  </si>
  <si>
    <t>Fins</t>
    <phoneticPr fontId="11" type="noConversion"/>
  </si>
  <si>
    <t>Cost / Jump</t>
    <phoneticPr fontId="11" type="noConversion"/>
  </si>
  <si>
    <t>M Size</t>
    <phoneticPr fontId="11" type="noConversion"/>
  </si>
  <si>
    <t>Bridge</t>
    <phoneticPr fontId="11" type="noConversion"/>
  </si>
  <si>
    <t>Sandcaster</t>
  </si>
  <si>
    <t>X</t>
    <phoneticPr fontId="11" type="noConversion"/>
  </si>
  <si>
    <t>Active</t>
    <phoneticPr fontId="11" type="noConversion"/>
  </si>
  <si>
    <t>Sensors</t>
    <phoneticPr fontId="11" type="noConversion"/>
  </si>
  <si>
    <t>Arm mult</t>
    <phoneticPr fontId="11" type="noConversion"/>
  </si>
  <si>
    <t>Nexus</t>
    <phoneticPr fontId="11" type="noConversion"/>
  </si>
  <si>
    <t>Subnexus</t>
    <phoneticPr fontId="11" type="noConversion"/>
  </si>
  <si>
    <t>Drive</t>
    <phoneticPr fontId="11" type="noConversion"/>
  </si>
  <si>
    <t>Generic</t>
    <phoneticPr fontId="11" type="noConversion"/>
  </si>
  <si>
    <t>Cost, streaml</t>
    <phoneticPr fontId="11" type="noConversion"/>
  </si>
  <si>
    <t>De</t>
  </si>
  <si>
    <t>Life Support</t>
    <phoneticPr fontId="11" type="noConversion"/>
  </si>
  <si>
    <t>R</t>
    <phoneticPr fontId="11" type="noConversion"/>
  </si>
  <si>
    <t>Aluminium</t>
    <phoneticPr fontId="11" type="noConversion"/>
  </si>
  <si>
    <t>Kinetic</t>
    <phoneticPr fontId="11" type="noConversion"/>
  </si>
  <si>
    <t>High</t>
    <phoneticPr fontId="11" type="noConversion"/>
  </si>
  <si>
    <t>Fix Pen</t>
    <phoneticPr fontId="11" type="noConversion"/>
  </si>
  <si>
    <t>Transfer Pump</t>
    <phoneticPr fontId="11" type="noConversion"/>
  </si>
  <si>
    <t>Dton</t>
    <phoneticPr fontId="11" type="noConversion"/>
  </si>
  <si>
    <t>Carried Craft</t>
    <phoneticPr fontId="11" type="noConversion"/>
  </si>
  <si>
    <t>Steerage</t>
    <phoneticPr fontId="11" type="noConversion"/>
  </si>
  <si>
    <t>Self-healing</t>
    <phoneticPr fontId="11" type="noConversion"/>
  </si>
  <si>
    <t>Organic</t>
    <phoneticPr fontId="11" type="noConversion"/>
  </si>
  <si>
    <t>Craft</t>
    <phoneticPr fontId="11" type="noConversion"/>
  </si>
  <si>
    <t>Code to post</t>
    <phoneticPr fontId="13" type="noConversion"/>
  </si>
  <si>
    <t>Stability</t>
    <phoneticPr fontId="11" type="noConversion"/>
  </si>
  <si>
    <t>Fins adds 1 agility, included later</t>
    <phoneticPr fontId="11" type="noConversion"/>
  </si>
  <si>
    <t>V3</t>
  </si>
  <si>
    <t>W3</t>
  </si>
  <si>
    <t>X3</t>
  </si>
  <si>
    <t>Y3</t>
  </si>
  <si>
    <t>Z3</t>
  </si>
  <si>
    <t>J Cost</t>
    <phoneticPr fontId="11" type="noConversion"/>
  </si>
  <si>
    <t>Skill Sec×2</t>
    <phoneticPr fontId="11" type="noConversion"/>
  </si>
  <si>
    <t>C+S</t>
    <phoneticPr fontId="11" type="noConversion"/>
  </si>
  <si>
    <t>Life Support</t>
    <phoneticPr fontId="11" type="noConversion"/>
  </si>
  <si>
    <t>Wings</t>
    <phoneticPr fontId="11" type="noConversion"/>
  </si>
  <si>
    <t>Cr Staterooms, Luxury</t>
    <phoneticPr fontId="11" type="noConversion"/>
  </si>
  <si>
    <t>Fix Pen</t>
    <phoneticPr fontId="11" type="noConversion"/>
  </si>
  <si>
    <t>Landing Skids</t>
    <phoneticPr fontId="11" type="noConversion"/>
  </si>
  <si>
    <t>specialist</t>
    <phoneticPr fontId="13" type="noConversion"/>
  </si>
  <si>
    <t>Size</t>
    <phoneticPr fontId="11" type="noConversion"/>
  </si>
  <si>
    <t>Cost</t>
    <phoneticPr fontId="11" type="noConversion"/>
  </si>
  <si>
    <t>Meson Screen</t>
  </si>
  <si>
    <t>Decentralised - Power Cells</t>
    <phoneticPr fontId="11" type="noConversion"/>
  </si>
  <si>
    <t>EP</t>
    <phoneticPr fontId="11" type="noConversion"/>
  </si>
  <si>
    <t>Prod Jump Power</t>
    <phoneticPr fontId="11" type="noConversion"/>
  </si>
  <si>
    <t>Consoles</t>
    <phoneticPr fontId="11" type="noConversion"/>
  </si>
  <si>
    <t>Jump Bubble</t>
    <phoneticPr fontId="11" type="noConversion"/>
  </si>
  <si>
    <t>navigator</t>
    <phoneticPr fontId="13" type="noConversion"/>
  </si>
  <si>
    <t>Black Globe</t>
    <phoneticPr fontId="11" type="noConversion"/>
  </si>
  <si>
    <t>Consoles</t>
    <phoneticPr fontId="11" type="noConversion"/>
  </si>
  <si>
    <t>Sensor</t>
    <phoneticPr fontId="11" type="noConversion"/>
  </si>
  <si>
    <t>Min Mount</t>
    <phoneticPr fontId="11" type="noConversion"/>
  </si>
  <si>
    <t>Scope</t>
    <phoneticPr fontId="11" type="noConversion"/>
  </si>
  <si>
    <t>TL</t>
    <phoneticPr fontId="13" type="noConversion"/>
  </si>
  <si>
    <t>Streamlining</t>
    <phoneticPr fontId="13" type="noConversion"/>
  </si>
  <si>
    <t>Weapons</t>
    <phoneticPr fontId="13" type="noConversion"/>
  </si>
  <si>
    <t>Cluster</t>
    <phoneticPr fontId="11" type="noConversion"/>
  </si>
  <si>
    <t>Stage:</t>
    <phoneticPr fontId="11" type="noConversion"/>
  </si>
  <si>
    <t>W6</t>
  </si>
  <si>
    <t>Anti-Rad</t>
    <phoneticPr fontId="11" type="noConversion"/>
  </si>
  <si>
    <t>EMP</t>
    <phoneticPr fontId="11" type="noConversion"/>
  </si>
  <si>
    <t>Rad</t>
    <phoneticPr fontId="11" type="noConversion"/>
  </si>
  <si>
    <t>S=</t>
    <phoneticPr fontId="11" type="noConversion"/>
  </si>
  <si>
    <t xml:space="preserve">    Gunner</t>
    <phoneticPr fontId="11" type="noConversion"/>
  </si>
  <si>
    <t>Bonded</t>
    <phoneticPr fontId="11" type="noConversion"/>
  </si>
  <si>
    <t>FeNi</t>
    <phoneticPr fontId="11" type="noConversion"/>
  </si>
  <si>
    <t>FeNi</t>
    <phoneticPr fontId="11" type="noConversion"/>
  </si>
  <si>
    <t>%AV</t>
    <phoneticPr fontId="11" type="noConversion"/>
  </si>
  <si>
    <t>Dean Drive*</t>
    <phoneticPr fontId="11" type="noConversion"/>
  </si>
  <si>
    <t>T</t>
    <phoneticPr fontId="11" type="noConversion"/>
  </si>
  <si>
    <t>Steerage</t>
    <phoneticPr fontId="11" type="noConversion"/>
  </si>
  <si>
    <t>medic</t>
    <phoneticPr fontId="13" type="noConversion"/>
  </si>
  <si>
    <t>Braced</t>
    <phoneticPr fontId="11" type="noConversion"/>
  </si>
  <si>
    <t>Prod HEP Power</t>
    <phoneticPr fontId="11" type="noConversion"/>
  </si>
  <si>
    <t>X9</t>
  </si>
  <si>
    <t>Float</t>
    <phoneticPr fontId="11" type="noConversion"/>
  </si>
  <si>
    <t>TL Stage Max</t>
    <phoneticPr fontId="11" type="noConversion"/>
  </si>
  <si>
    <t>V2</t>
  </si>
  <si>
    <t>Min</t>
  </si>
  <si>
    <t>R=</t>
    <phoneticPr fontId="11" type="noConversion"/>
  </si>
  <si>
    <t>Triple</t>
  </si>
  <si>
    <t>Barbette</t>
  </si>
  <si>
    <t>Barbette, Double</t>
  </si>
  <si>
    <t>Bay</t>
  </si>
  <si>
    <t>Bay, Large</t>
  </si>
  <si>
    <t>M Cost</t>
    <phoneticPr fontId="11" type="noConversion"/>
  </si>
  <si>
    <t>Particle</t>
  </si>
  <si>
    <t>Ship's Boat</t>
    <phoneticPr fontId="11" type="noConversion"/>
  </si>
  <si>
    <t>Crew</t>
    <phoneticPr fontId="11" type="noConversion"/>
  </si>
  <si>
    <t>Rad</t>
    <phoneticPr fontId="11" type="noConversion"/>
  </si>
  <si>
    <t>HitLoc#</t>
    <phoneticPr fontId="11" type="noConversion"/>
  </si>
  <si>
    <t>Small Craft</t>
    <phoneticPr fontId="11" type="noConversion"/>
  </si>
  <si>
    <t>Max ∆ Rng</t>
    <phoneticPr fontId="11" type="noConversion"/>
  </si>
  <si>
    <t>Min ∆ Rng</t>
    <phoneticPr fontId="11" type="noConversion"/>
  </si>
  <si>
    <t>JumpN</t>
    <phoneticPr fontId="11" type="noConversion"/>
  </si>
  <si>
    <t>HE</t>
    <phoneticPr fontId="11" type="noConversion"/>
  </si>
  <si>
    <t>B</t>
    <phoneticPr fontId="11" type="noConversion"/>
  </si>
  <si>
    <t>Light Cruiser</t>
    <phoneticPr fontId="11" type="noConversion"/>
  </si>
  <si>
    <t>Bay, Large</t>
    <phoneticPr fontId="11" type="noConversion"/>
  </si>
  <si>
    <t>Jump Grid</t>
    <phoneticPr fontId="11" type="noConversion"/>
  </si>
  <si>
    <t>Shuttle, Heavy, Fast</t>
    <phoneticPr fontId="11" type="noConversion"/>
  </si>
  <si>
    <t>Pres</t>
    <phoneticPr fontId="11" type="noConversion"/>
  </si>
  <si>
    <t>Pod</t>
    <phoneticPr fontId="11" type="noConversion"/>
  </si>
  <si>
    <t>Poss stage</t>
    <phoneticPr fontId="11" type="noConversion"/>
  </si>
  <si>
    <t>Comp:</t>
    <phoneticPr fontId="11" type="noConversion"/>
  </si>
  <si>
    <t xml:space="preserve">    Engineer</t>
    <phoneticPr fontId="11" type="noConversion"/>
  </si>
  <si>
    <t>Folding Wings</t>
    <phoneticPr fontId="11" type="noConversion"/>
  </si>
  <si>
    <t>Low Berth</t>
    <phoneticPr fontId="11" type="noConversion"/>
  </si>
  <si>
    <t>Shuttle, Light</t>
    <phoneticPr fontId="11" type="noConversion"/>
  </si>
  <si>
    <t>Ship</t>
    <phoneticPr fontId="13" type="noConversion"/>
  </si>
  <si>
    <t>(Referenced by Description)</t>
    <phoneticPr fontId="11" type="noConversion"/>
  </si>
  <si>
    <t>(not Org or Pol)</t>
    <phoneticPr fontId="11" type="noConversion"/>
  </si>
  <si>
    <t>U</t>
  </si>
  <si>
    <t>C</t>
  </si>
  <si>
    <t>Collector*</t>
    <phoneticPr fontId="11" type="noConversion"/>
  </si>
  <si>
    <t># Mounts</t>
    <phoneticPr fontId="11" type="noConversion"/>
  </si>
  <si>
    <t>flight crew</t>
    <phoneticPr fontId="13" type="noConversion"/>
  </si>
  <si>
    <t>troop</t>
    <phoneticPr fontId="13" type="noConversion"/>
  </si>
  <si>
    <t>s</t>
    <phoneticPr fontId="13" type="noConversion"/>
  </si>
  <si>
    <t>Surface</t>
    <phoneticPr fontId="11" type="noConversion"/>
  </si>
  <si>
    <t>Surf Mounts</t>
    <phoneticPr fontId="11" type="noConversion"/>
  </si>
  <si>
    <t>Int Mounts</t>
    <phoneticPr fontId="11" type="noConversion"/>
  </si>
  <si>
    <t>Modified</t>
    <phoneticPr fontId="11" type="noConversion"/>
  </si>
  <si>
    <t>Property</t>
    <phoneticPr fontId="11" type="noConversion"/>
  </si>
  <si>
    <t>Troops</t>
    <phoneticPr fontId="11" type="noConversion"/>
  </si>
  <si>
    <t>Eficiency</t>
    <phoneticPr fontId="11" type="noConversion"/>
  </si>
  <si>
    <t>L</t>
    <phoneticPr fontId="11" type="noConversion"/>
  </si>
  <si>
    <t>Meson Screen</t>
    <phoneticPr fontId="11" type="noConversion"/>
  </si>
  <si>
    <t>Troops</t>
    <phoneticPr fontId="11" type="noConversion"/>
  </si>
  <si>
    <t>Laminate</t>
    <phoneticPr fontId="11" type="noConversion"/>
  </si>
  <si>
    <t>Ship's Boat, Slow</t>
    <phoneticPr fontId="11" type="noConversion"/>
  </si>
  <si>
    <t>AuxControl</t>
    <phoneticPr fontId="11" type="noConversion"/>
  </si>
  <si>
    <t>Pinnace, Slow</t>
    <phoneticPr fontId="11" type="noConversion"/>
  </si>
  <si>
    <t>Hit Loc #</t>
    <phoneticPr fontId="11" type="noConversion"/>
  </si>
  <si>
    <t>specialist</t>
    <phoneticPr fontId="13" type="noConversion"/>
  </si>
  <si>
    <t>Name</t>
    <phoneticPr fontId="11" type="noConversion"/>
  </si>
  <si>
    <t>Demand</t>
    <phoneticPr fontId="11" type="noConversion"/>
  </si>
  <si>
    <t>T3</t>
  </si>
  <si>
    <t>High Statroom</t>
    <phoneticPr fontId="11" type="noConversion"/>
  </si>
  <si>
    <t>Far Orbit</t>
    <phoneticPr fontId="11" type="noConversion"/>
  </si>
  <si>
    <t>Neutrino Sensor</t>
    <phoneticPr fontId="11" type="noConversion"/>
  </si>
  <si>
    <t>Tonnage</t>
    <phoneticPr fontId="11" type="noConversion"/>
  </si>
  <si>
    <t>Armed Civilian</t>
    <phoneticPr fontId="13" type="noConversion"/>
  </si>
  <si>
    <t>Mount</t>
    <phoneticPr fontId="11" type="noConversion"/>
  </si>
  <si>
    <t>Y</t>
    <phoneticPr fontId="11" type="noConversion"/>
  </si>
  <si>
    <t>Main</t>
  </si>
  <si>
    <t>White Globe</t>
    <phoneticPr fontId="11" type="noConversion"/>
  </si>
  <si>
    <t xml:space="preserve">    Medic</t>
    <phoneticPr fontId="11" type="noConversion"/>
  </si>
  <si>
    <t>Max G</t>
    <phoneticPr fontId="11" type="noConversion"/>
  </si>
  <si>
    <t xml:space="preserve">Sensor: </t>
    <phoneticPr fontId="11" type="noConversion"/>
  </si>
  <si>
    <t>Rng+2, TL+2</t>
    <phoneticPr fontId="11" type="noConversion"/>
  </si>
  <si>
    <t>E</t>
    <phoneticPr fontId="11" type="noConversion"/>
  </si>
  <si>
    <t>Rng+3, TL+3</t>
    <phoneticPr fontId="11" type="noConversion"/>
  </si>
  <si>
    <t>BR</t>
    <phoneticPr fontId="11" type="noConversion"/>
  </si>
  <si>
    <t>Agility</t>
    <phoneticPr fontId="11" type="noConversion"/>
  </si>
  <si>
    <t>low berth</t>
    <phoneticPr fontId="13" type="noConversion"/>
  </si>
  <si>
    <t>Stability</t>
    <phoneticPr fontId="11" type="noConversion"/>
  </si>
  <si>
    <t>PP Fuel</t>
    <phoneticPr fontId="11" type="noConversion"/>
  </si>
  <si>
    <t>KK Missile</t>
    <phoneticPr fontId="11" type="noConversion"/>
  </si>
  <si>
    <t>Steerage</t>
  </si>
  <si>
    <t>Burn</t>
    <phoneticPr fontId="11" type="noConversion"/>
  </si>
  <si>
    <t>Escape Capsules</t>
    <phoneticPr fontId="11" type="noConversion"/>
  </si>
  <si>
    <t>∆S</t>
    <phoneticPr fontId="11" type="noConversion"/>
  </si>
  <si>
    <t>Jumps / Year</t>
    <phoneticPr fontId="11" type="noConversion"/>
  </si>
  <si>
    <t>L</t>
    <phoneticPr fontId="11" type="noConversion"/>
  </si>
  <si>
    <t>Finns</t>
    <phoneticPr fontId="11" type="noConversion"/>
  </si>
  <si>
    <t>Keratin</t>
    <phoneticPr fontId="11" type="noConversion"/>
  </si>
  <si>
    <t>Selected drive TL</t>
    <phoneticPr fontId="11" type="noConversion"/>
  </si>
  <si>
    <t>F</t>
    <phoneticPr fontId="11" type="noConversion"/>
  </si>
  <si>
    <t>Extendable (Ext)</t>
    <phoneticPr fontId="11" type="noConversion"/>
  </si>
  <si>
    <t>Efficiency</t>
    <phoneticPr fontId="13" type="noConversion"/>
  </si>
  <si>
    <t>Mount</t>
    <phoneticPr fontId="11" type="noConversion"/>
  </si>
  <si>
    <t>FirmP</t>
  </si>
  <si>
    <t>Advanced</t>
    <phoneticPr fontId="11" type="noConversion"/>
  </si>
  <si>
    <t>Ease of Use</t>
    <phoneticPr fontId="11" type="noConversion"/>
  </si>
  <si>
    <t>Mortgage</t>
    <phoneticPr fontId="11" type="noConversion"/>
  </si>
  <si>
    <t>Common Areas</t>
    <phoneticPr fontId="11" type="noConversion"/>
  </si>
  <si>
    <t>Legs</t>
    <phoneticPr fontId="11" type="noConversion"/>
  </si>
  <si>
    <t>Submer</t>
    <phoneticPr fontId="11" type="noConversion"/>
  </si>
  <si>
    <t>Custom</t>
    <phoneticPr fontId="11" type="noConversion"/>
  </si>
  <si>
    <t>Starting at</t>
    <phoneticPr fontId="11" type="noConversion"/>
  </si>
  <si>
    <t>Freshers</t>
  </si>
  <si>
    <t>Vdistant</t>
    <phoneticPr fontId="11" type="noConversion"/>
  </si>
  <si>
    <t>Standard Air Lock</t>
    <phoneticPr fontId="11" type="noConversion"/>
  </si>
  <si>
    <t>N</t>
    <phoneticPr fontId="11" type="noConversion"/>
  </si>
  <si>
    <t>Tech Col</t>
    <phoneticPr fontId="11" type="noConversion"/>
  </si>
  <si>
    <t>HEPlaR*</t>
    <phoneticPr fontId="11" type="noConversion"/>
  </si>
  <si>
    <t>S</t>
    <phoneticPr fontId="11" type="noConversion"/>
  </si>
  <si>
    <t>P</t>
    <phoneticPr fontId="11" type="noConversion"/>
  </si>
  <si>
    <t>Code</t>
    <phoneticPr fontId="11" type="noConversion"/>
  </si>
  <si>
    <t>Consoles</t>
    <phoneticPr fontId="11" type="noConversion"/>
  </si>
  <si>
    <t>Months / Year</t>
    <phoneticPr fontId="11" type="noConversion"/>
  </si>
  <si>
    <t>Grav</t>
    <phoneticPr fontId="11" type="noConversion"/>
  </si>
  <si>
    <t>Magn</t>
    <phoneticPr fontId="11" type="noConversion"/>
  </si>
  <si>
    <t>Bio</t>
    <phoneticPr fontId="11" type="noConversion"/>
  </si>
  <si>
    <t>All</t>
    <phoneticPr fontId="11" type="noConversion"/>
  </si>
  <si>
    <t>Fuel, Jump</t>
    <phoneticPr fontId="11" type="noConversion"/>
  </si>
  <si>
    <t>Composite</t>
    <phoneticPr fontId="11" type="noConversion"/>
  </si>
  <si>
    <t>Launch, Fast</t>
    <phoneticPr fontId="11" type="noConversion"/>
  </si>
  <si>
    <t>LF</t>
    <phoneticPr fontId="11" type="noConversion"/>
  </si>
  <si>
    <t>Communicator (default)</t>
    <phoneticPr fontId="11" type="noConversion"/>
  </si>
  <si>
    <t>Armour Outer layer</t>
    <phoneticPr fontId="11" type="noConversion"/>
  </si>
  <si>
    <t>weapon</t>
    <phoneticPr fontId="13" type="noConversion"/>
  </si>
  <si>
    <t>Screens</t>
    <phoneticPr fontId="13" type="noConversion"/>
  </si>
  <si>
    <t>steerage berth</t>
    <phoneticPr fontId="13" type="noConversion"/>
  </si>
  <si>
    <t>Ext</t>
  </si>
  <si>
    <t>∆TL</t>
    <phoneticPr fontId="11" type="noConversion"/>
  </si>
  <si>
    <t>∆R</t>
    <phoneticPr fontId="11" type="noConversion"/>
  </si>
  <si>
    <t>S=</t>
    <phoneticPr fontId="11" type="noConversion"/>
  </si>
  <si>
    <t>Book 3 p157</t>
    <phoneticPr fontId="11" type="noConversion"/>
  </si>
  <si>
    <t>P Size</t>
    <phoneticPr fontId="11" type="noConversion"/>
  </si>
  <si>
    <t>Disruptor</t>
    <phoneticPr fontId="11" type="noConversion"/>
  </si>
  <si>
    <t>Contact</t>
    <phoneticPr fontId="11" type="noConversion"/>
  </si>
  <si>
    <t>Weapon:</t>
    <phoneticPr fontId="11" type="noConversion"/>
  </si>
  <si>
    <t>H/B</t>
    <phoneticPr fontId="11" type="noConversion"/>
  </si>
  <si>
    <t>Structure</t>
    <phoneticPr fontId="11" type="noConversion"/>
  </si>
  <si>
    <t>Kinetic</t>
    <phoneticPr fontId="11" type="noConversion"/>
  </si>
  <si>
    <t>U4</t>
  </si>
  <si>
    <t>Fix BF</t>
    <phoneticPr fontId="11" type="noConversion"/>
  </si>
  <si>
    <t>Gen</t>
    <phoneticPr fontId="11" type="noConversion"/>
  </si>
  <si>
    <t>None</t>
    <phoneticPr fontId="11" type="noConversion"/>
  </si>
  <si>
    <t>Hull</t>
    <phoneticPr fontId="11" type="noConversion"/>
  </si>
  <si>
    <t>Rng-1, TL-1</t>
    <phoneticPr fontId="11" type="noConversion"/>
  </si>
  <si>
    <t>AM Missile</t>
    <phoneticPr fontId="11" type="noConversion"/>
  </si>
  <si>
    <t>Jump Damper</t>
    <phoneticPr fontId="11" type="noConversion"/>
  </si>
  <si>
    <t>Manœuvre</t>
    <phoneticPr fontId="11" type="noConversion"/>
  </si>
  <si>
    <t>DataCaster</t>
  </si>
  <si>
    <t>Bo</t>
    <phoneticPr fontId="11" type="noConversion"/>
  </si>
  <si>
    <t>Fusion</t>
    <phoneticPr fontId="11" type="noConversion"/>
  </si>
  <si>
    <t>administrator</t>
    <phoneticPr fontId="13" type="noConversion"/>
  </si>
  <si>
    <t>Weapons</t>
    <phoneticPr fontId="11" type="noConversion"/>
  </si>
  <si>
    <t>Rng+1, TL+1</t>
    <phoneticPr fontId="11" type="noConversion"/>
  </si>
  <si>
    <t>X6</t>
  </si>
  <si>
    <t>Y6</t>
  </si>
  <si>
    <t>Z6</t>
  </si>
  <si>
    <t>W7</t>
  </si>
  <si>
    <t>X7</t>
  </si>
  <si>
    <t>Lifting Body</t>
    <phoneticPr fontId="11" type="noConversion"/>
  </si>
  <si>
    <t>Deep Space3</t>
    <phoneticPr fontId="11" type="noConversion"/>
  </si>
  <si>
    <t>SLM Hybrid</t>
    <phoneticPr fontId="11" type="noConversion"/>
  </si>
  <si>
    <t>Computer</t>
    <phoneticPr fontId="11" type="noConversion"/>
  </si>
  <si>
    <t>Cargo</t>
    <phoneticPr fontId="11" type="noConversion"/>
  </si>
  <si>
    <t>Tarmac</t>
    <phoneticPr fontId="11" type="noConversion"/>
  </si>
  <si>
    <t>Landing Legs</t>
    <phoneticPr fontId="11" type="noConversion"/>
  </si>
  <si>
    <t>Wilderness</t>
    <phoneticPr fontId="11" type="noConversion"/>
  </si>
  <si>
    <t>Heat</t>
    <phoneticPr fontId="11" type="noConversion"/>
  </si>
  <si>
    <t xml:space="preserve">  Nexus</t>
    <phoneticPr fontId="11" type="noConversion"/>
  </si>
  <si>
    <t>Fix BF</t>
    <phoneticPr fontId="11" type="noConversion"/>
  </si>
  <si>
    <t>Drive</t>
    <phoneticPr fontId="11" type="noConversion"/>
  </si>
  <si>
    <t>Rng-3, TL-3</t>
    <phoneticPr fontId="11" type="noConversion"/>
  </si>
  <si>
    <t>Req Power</t>
    <phoneticPr fontId="11" type="noConversion"/>
  </si>
  <si>
    <t>Landing Wheels</t>
    <phoneticPr fontId="11" type="noConversion"/>
  </si>
  <si>
    <t>B1</t>
    <phoneticPr fontId="11" type="noConversion"/>
  </si>
  <si>
    <t>LR</t>
    <phoneticPr fontId="11" type="noConversion"/>
  </si>
  <si>
    <t>Life Support</t>
    <phoneticPr fontId="11" type="noConversion"/>
  </si>
  <si>
    <t>Salaries</t>
    <phoneticPr fontId="11" type="noConversion"/>
  </si>
  <si>
    <t>Berthing, average</t>
    <phoneticPr fontId="11" type="noConversion"/>
  </si>
  <si>
    <t>Prod Jump Power</t>
  </si>
  <si>
    <t>J</t>
  </si>
  <si>
    <t>Attack1</t>
    <phoneticPr fontId="11" type="noConversion"/>
  </si>
  <si>
    <t>G</t>
  </si>
  <si>
    <t>Internal</t>
    <phoneticPr fontId="11" type="noConversion"/>
  </si>
  <si>
    <t>Y5</t>
  </si>
  <si>
    <t>Z5</t>
  </si>
  <si>
    <t>Z7</t>
  </si>
  <si>
    <t>Burden</t>
    <phoneticPr fontId="11" type="noConversion"/>
  </si>
  <si>
    <t>Grav Sensor</t>
  </si>
  <si>
    <t>Anti-matter</t>
  </si>
  <si>
    <t>Income per jump kCr</t>
    <phoneticPr fontId="11" type="noConversion"/>
  </si>
  <si>
    <t>Long1</t>
    <phoneticPr fontId="11" type="noConversion"/>
  </si>
  <si>
    <t>Rocket</t>
  </si>
  <si>
    <t>R</t>
  </si>
  <si>
    <t>Fusion</t>
  </si>
  <si>
    <t>P</t>
  </si>
  <si>
    <t>Barbette, Double</t>
    <phoneticPr fontId="11" type="noConversion"/>
  </si>
  <si>
    <t>Shell</t>
    <phoneticPr fontId="11" type="noConversion"/>
  </si>
  <si>
    <t>Barbette</t>
    <phoneticPr fontId="11" type="noConversion"/>
  </si>
  <si>
    <t>5 Gm</t>
    <phoneticPr fontId="11" type="noConversion"/>
  </si>
  <si>
    <t>Cr Common Areas</t>
    <phoneticPr fontId="11" type="noConversion"/>
  </si>
  <si>
    <t>Config</t>
    <phoneticPr fontId="11" type="noConversion"/>
  </si>
  <si>
    <t>Prod EP</t>
    <phoneticPr fontId="11" type="noConversion"/>
  </si>
  <si>
    <t>L</t>
    <phoneticPr fontId="11" type="noConversion"/>
  </si>
  <si>
    <t>Luxury</t>
    <phoneticPr fontId="11" type="noConversion"/>
  </si>
  <si>
    <t>150 m</t>
    <phoneticPr fontId="11" type="noConversion"/>
  </si>
  <si>
    <t>Drive Formula</t>
    <phoneticPr fontId="11" type="noConversion"/>
  </si>
  <si>
    <t>one</t>
    <phoneticPr fontId="11" type="noConversion"/>
  </si>
  <si>
    <t>two</t>
    <phoneticPr fontId="11" type="noConversion"/>
  </si>
  <si>
    <t>six</t>
    <phoneticPr fontId="11" type="noConversion"/>
  </si>
  <si>
    <t>Fittings</t>
    <phoneticPr fontId="11" type="noConversion"/>
  </si>
  <si>
    <t>Heat</t>
    <phoneticPr fontId="11" type="noConversion"/>
  </si>
  <si>
    <t>Jammer</t>
  </si>
  <si>
    <t>X5</t>
  </si>
  <si>
    <t>Size</t>
    <phoneticPr fontId="11" type="noConversion"/>
  </si>
  <si>
    <t>Jump</t>
  </si>
  <si>
    <t>Manœuvre</t>
  </si>
  <si>
    <t>Lifepod</t>
    <phoneticPr fontId="11" type="noConversion"/>
  </si>
  <si>
    <t>Ergonomics</t>
    <phoneticPr fontId="11" type="noConversion"/>
  </si>
  <si>
    <t>Range Effect:</t>
    <phoneticPr fontId="11" type="noConversion"/>
  </si>
  <si>
    <t>Cargo</t>
    <phoneticPr fontId="11" type="noConversion"/>
  </si>
  <si>
    <t>Cost bis</t>
    <phoneticPr fontId="11" type="noConversion"/>
  </si>
  <si>
    <t>G</t>
    <phoneticPr fontId="11" type="noConversion"/>
  </si>
  <si>
    <t>Draft Hit Location Table</t>
    <phoneticPr fontId="11" type="noConversion"/>
  </si>
  <si>
    <t>Basic</t>
    <phoneticPr fontId="11" type="noConversion"/>
  </si>
  <si>
    <t>DataCaster</t>
    <phoneticPr fontId="11" type="noConversion"/>
  </si>
  <si>
    <t>50 Gm</t>
    <phoneticPr fontId="11" type="noConversion"/>
  </si>
  <si>
    <t>Anti-layer AV</t>
    <phoneticPr fontId="11" type="noConversion"/>
  </si>
  <si>
    <t>Fission</t>
  </si>
  <si>
    <t>Turret Wpns</t>
    <phoneticPr fontId="11" type="noConversion"/>
  </si>
  <si>
    <t>Nuke</t>
    <phoneticPr fontId="11" type="noConversion"/>
  </si>
  <si>
    <t>BAnt</t>
    <phoneticPr fontId="11" type="noConversion"/>
  </si>
  <si>
    <t>Field Sensor</t>
    <phoneticPr fontId="11" type="noConversion"/>
  </si>
  <si>
    <t>Grav Sensor</t>
    <phoneticPr fontId="11" type="noConversion"/>
  </si>
  <si>
    <t>Fix Pres</t>
    <phoneticPr fontId="11" type="noConversion"/>
  </si>
  <si>
    <t>Pres</t>
    <phoneticPr fontId="11" type="noConversion"/>
  </si>
  <si>
    <t>Life Support</t>
    <phoneticPr fontId="11" type="noConversion"/>
  </si>
  <si>
    <t>Organic</t>
    <phoneticPr fontId="11" type="noConversion"/>
  </si>
  <si>
    <t>Flight</t>
    <phoneticPr fontId="11" type="noConversion"/>
  </si>
  <si>
    <t>Quad</t>
    <phoneticPr fontId="11" type="noConversion"/>
  </si>
  <si>
    <t>T4</t>
    <phoneticPr fontId="11" type="noConversion"/>
  </si>
  <si>
    <t>Flotation</t>
    <phoneticPr fontId="11" type="noConversion"/>
  </si>
  <si>
    <t>A</t>
  </si>
  <si>
    <t>Mod</t>
    <phoneticPr fontId="11" type="noConversion"/>
  </si>
  <si>
    <t>Code</t>
    <phoneticPr fontId="11" type="noConversion"/>
  </si>
  <si>
    <t>Effective TL</t>
    <phoneticPr fontId="11" type="noConversion"/>
  </si>
  <si>
    <t>Calculated Drive Table</t>
    <phoneticPr fontId="11" type="noConversion"/>
  </si>
  <si>
    <t>TL</t>
    <phoneticPr fontId="11" type="noConversion"/>
  </si>
  <si>
    <t>Legs</t>
    <phoneticPr fontId="11" type="noConversion"/>
  </si>
  <si>
    <t>BF</t>
    <phoneticPr fontId="11" type="noConversion"/>
  </si>
  <si>
    <t>troop</t>
    <phoneticPr fontId="13" type="noConversion"/>
  </si>
  <si>
    <t>Std</t>
    <phoneticPr fontId="11" type="noConversion"/>
  </si>
  <si>
    <t>Selected brains with positive flux, about 33% of all INT DD=6 + 6 + F + F brains</t>
    <phoneticPr fontId="11" type="noConversion"/>
  </si>
  <si>
    <t>Base TL</t>
    <phoneticPr fontId="11" type="noConversion"/>
  </si>
  <si>
    <t>Airframe</t>
    <phoneticPr fontId="11" type="noConversion"/>
  </si>
  <si>
    <t>Payload</t>
    <phoneticPr fontId="11" type="noConversion"/>
  </si>
  <si>
    <t>B</t>
    <phoneticPr fontId="11" type="noConversion"/>
  </si>
  <si>
    <t>Water Landing</t>
    <phoneticPr fontId="11" type="noConversion"/>
  </si>
  <si>
    <t>Partially</t>
  </si>
  <si>
    <t>Coonfiguration</t>
    <phoneticPr fontId="11" type="noConversion"/>
  </si>
  <si>
    <t>Fix EMP</t>
    <phoneticPr fontId="11" type="noConversion"/>
  </si>
  <si>
    <t>EMP</t>
    <phoneticPr fontId="11" type="noConversion"/>
  </si>
  <si>
    <t>Neg Ju Fuel</t>
    <phoneticPr fontId="11" type="noConversion"/>
  </si>
  <si>
    <t>Int mounts</t>
    <phoneticPr fontId="11" type="noConversion"/>
  </si>
  <si>
    <t>ten</t>
    <phoneticPr fontId="11" type="noConversion"/>
  </si>
  <si>
    <t>eleven</t>
    <phoneticPr fontId="11" type="noConversion"/>
  </si>
  <si>
    <t>twelve</t>
    <phoneticPr fontId="11" type="noConversion"/>
  </si>
  <si>
    <t>0 m</t>
    <phoneticPr fontId="11" type="noConversion"/>
  </si>
  <si>
    <t>carried craft</t>
    <phoneticPr fontId="13" type="noConversion"/>
  </si>
  <si>
    <t xml:space="preserve"> </t>
    <phoneticPr fontId="13" type="noConversion"/>
  </si>
  <si>
    <t>aeiouy</t>
  </si>
  <si>
    <t>Req M Power</t>
  </si>
  <si>
    <t>Min mount</t>
    <phoneticPr fontId="11" type="noConversion"/>
  </si>
  <si>
    <t>Cost</t>
    <phoneticPr fontId="11" type="noConversion"/>
  </si>
  <si>
    <t>B</t>
    <phoneticPr fontId="11" type="noConversion"/>
  </si>
  <si>
    <t>N</t>
    <phoneticPr fontId="11" type="noConversion"/>
  </si>
  <si>
    <t>B</t>
    <phoneticPr fontId="11" type="noConversion"/>
  </si>
  <si>
    <t>Chitin</t>
    <phoneticPr fontId="11" type="noConversion"/>
  </si>
  <si>
    <t>Steerage</t>
    <phoneticPr fontId="11" type="noConversion"/>
  </si>
  <si>
    <t>E</t>
    <phoneticPr fontId="11" type="noConversion"/>
  </si>
  <si>
    <t>DefaultRng</t>
    <phoneticPr fontId="11" type="noConversion"/>
  </si>
  <si>
    <t>LiteMetal</t>
    <phoneticPr fontId="11" type="noConversion"/>
  </si>
  <si>
    <t>IncrHull tonnage</t>
    <phoneticPr fontId="11" type="noConversion"/>
  </si>
  <si>
    <t>Controls</t>
    <phoneticPr fontId="11" type="noConversion"/>
  </si>
  <si>
    <t>SuperDense</t>
    <phoneticPr fontId="11" type="noConversion"/>
  </si>
  <si>
    <t>Prod M Power</t>
  </si>
  <si>
    <t>Polymer</t>
    <phoneticPr fontId="11" type="noConversion"/>
  </si>
  <si>
    <t>G</t>
    <phoneticPr fontId="11" type="noConversion"/>
  </si>
  <si>
    <t>Overtonnage</t>
    <phoneticPr fontId="11" type="noConversion"/>
  </si>
  <si>
    <t>250 000 km</t>
    <phoneticPr fontId="11" type="noConversion"/>
  </si>
  <si>
    <t>Passengers</t>
    <phoneticPr fontId="11" type="noConversion"/>
  </si>
  <si>
    <t>Fighter</t>
    <phoneticPr fontId="11" type="noConversion"/>
  </si>
  <si>
    <t xml:space="preserve">When done go to the detailed ship sheet with </t>
    <phoneticPr fontId="13" type="noConversion"/>
  </si>
  <si>
    <t>Niche</t>
    <phoneticPr fontId="11" type="noConversion"/>
  </si>
  <si>
    <t/>
  </si>
  <si>
    <t>Size</t>
    <phoneticPr fontId="11" type="noConversion"/>
  </si>
  <si>
    <t>Cost</t>
    <phoneticPr fontId="11" type="noConversion"/>
  </si>
  <si>
    <t>HardP</t>
    <phoneticPr fontId="11" type="noConversion"/>
  </si>
  <si>
    <t>AV Size</t>
    <phoneticPr fontId="11" type="noConversion"/>
  </si>
  <si>
    <t>Experimental</t>
    <phoneticPr fontId="11" type="noConversion"/>
  </si>
  <si>
    <t>Load</t>
    <phoneticPr fontId="11" type="noConversion"/>
  </si>
  <si>
    <t>JPlate needed</t>
    <phoneticPr fontId="11" type="noConversion"/>
  </si>
  <si>
    <t>Default</t>
    <phoneticPr fontId="11" type="noConversion"/>
  </si>
  <si>
    <t>Cost</t>
    <phoneticPr fontId="11" type="noConversion"/>
  </si>
  <si>
    <t>Flash</t>
    <phoneticPr fontId="11" type="noConversion"/>
  </si>
  <si>
    <t>V4</t>
  </si>
  <si>
    <t>Unstreamlined</t>
    <phoneticPr fontId="11" type="noConversion"/>
  </si>
  <si>
    <t>Deep Space1</t>
    <phoneticPr fontId="11" type="noConversion"/>
  </si>
  <si>
    <t>Lifepod, Light</t>
    <phoneticPr fontId="11" type="noConversion"/>
  </si>
  <si>
    <t>Space left:</t>
    <phoneticPr fontId="11" type="noConversion"/>
  </si>
  <si>
    <t>Matrix</t>
    <phoneticPr fontId="11" type="noConversion"/>
  </si>
  <si>
    <t>Single</t>
    <phoneticPr fontId="11" type="noConversion"/>
  </si>
  <si>
    <t>Partially streamlined</t>
    <phoneticPr fontId="11" type="noConversion"/>
  </si>
  <si>
    <t>Slug Thrower</t>
  </si>
  <si>
    <t>Inducer</t>
  </si>
  <si>
    <t>Stasis</t>
  </si>
  <si>
    <t>Brains</t>
    <phoneticPr fontId="11" type="noConversion"/>
  </si>
  <si>
    <t>Cost</t>
    <phoneticPr fontId="11" type="noConversion"/>
  </si>
  <si>
    <t>AuxControl</t>
    <phoneticPr fontId="11" type="noConversion"/>
  </si>
  <si>
    <t>Payload</t>
    <phoneticPr fontId="11" type="noConversion"/>
  </si>
  <si>
    <t>Prod Op Power</t>
  </si>
  <si>
    <t>s</t>
    <phoneticPr fontId="13" type="noConversion"/>
  </si>
  <si>
    <t>Economic Estimate</t>
    <phoneticPr fontId="11" type="noConversion"/>
  </si>
  <si>
    <t>Fins</t>
    <phoneticPr fontId="11" type="noConversion"/>
  </si>
  <si>
    <t>Short</t>
    <phoneticPr fontId="11" type="noConversion"/>
  </si>
  <si>
    <t>Medium</t>
    <phoneticPr fontId="11" type="noConversion"/>
  </si>
  <si>
    <t>Assumed cost, based on T5.00</t>
    <phoneticPr fontId="11" type="noConversion"/>
  </si>
  <si>
    <t>50 m</t>
    <phoneticPr fontId="11" type="noConversion"/>
  </si>
  <si>
    <t>Range p690</t>
    <phoneticPr fontId="11" type="noConversion"/>
  </si>
  <si>
    <t>Ctrl+PgDown or click on the "Ship" tab below.</t>
    <phoneticPr fontId="13" type="noConversion"/>
  </si>
  <si>
    <t>Size</t>
    <phoneticPr fontId="11" type="noConversion"/>
  </si>
  <si>
    <t>Scanner</t>
    <phoneticPr fontId="11" type="noConversion"/>
  </si>
  <si>
    <t>Low</t>
    <phoneticPr fontId="11" type="noConversion"/>
  </si>
  <si>
    <t>Agility -2</t>
    <phoneticPr fontId="11" type="noConversion"/>
  </si>
  <si>
    <t>Surface mounts</t>
    <phoneticPr fontId="11" type="noConversion"/>
  </si>
  <si>
    <t>Range</t>
    <phoneticPr fontId="11" type="noConversion"/>
  </si>
  <si>
    <t>Staterooms, Luxury</t>
    <phoneticPr fontId="11" type="noConversion"/>
  </si>
  <si>
    <t>Fix Rad</t>
    <phoneticPr fontId="11" type="noConversion"/>
  </si>
  <si>
    <t>administrator</t>
    <phoneticPr fontId="13" type="noConversion"/>
  </si>
  <si>
    <t>Imp</t>
    <phoneticPr fontId="11" type="noConversion"/>
  </si>
  <si>
    <t>Incr Perform</t>
    <phoneticPr fontId="11" type="noConversion"/>
  </si>
  <si>
    <t>P2</t>
  </si>
  <si>
    <t>Mag Scrambler</t>
    <phoneticPr fontId="11" type="noConversion"/>
  </si>
  <si>
    <t>sensor operator</t>
    <phoneticPr fontId="13" type="noConversion"/>
  </si>
  <si>
    <t>∆R</t>
    <phoneticPr fontId="11" type="noConversion"/>
  </si>
  <si>
    <t>Blast</t>
    <phoneticPr fontId="11" type="noConversion"/>
  </si>
  <si>
    <t>Pen</t>
    <phoneticPr fontId="11" type="noConversion"/>
  </si>
  <si>
    <t>Fold Wings</t>
    <phoneticPr fontId="11" type="noConversion"/>
  </si>
  <si>
    <t>low berth</t>
    <phoneticPr fontId="13" type="noConversion"/>
  </si>
  <si>
    <t>Hull</t>
    <phoneticPr fontId="11" type="noConversion"/>
  </si>
  <si>
    <t>Stage</t>
    <phoneticPr fontId="11" type="noConversion"/>
  </si>
  <si>
    <t>Stability</t>
    <phoneticPr fontId="11" type="noConversion"/>
  </si>
  <si>
    <t>Proximeter</t>
    <phoneticPr fontId="11" type="noConversion"/>
  </si>
  <si>
    <t>Surf Mount</t>
    <phoneticPr fontId="11" type="noConversion"/>
  </si>
  <si>
    <t>Int Mount</t>
    <phoneticPr fontId="11" type="noConversion"/>
  </si>
  <si>
    <t>Surface Mounts</t>
    <phoneticPr fontId="11" type="noConversion"/>
  </si>
  <si>
    <t>Hull Fittings</t>
    <phoneticPr fontId="11" type="noConversion"/>
  </si>
  <si>
    <t>Elec</t>
    <phoneticPr fontId="11" type="noConversion"/>
  </si>
  <si>
    <t>Grav</t>
    <phoneticPr fontId="11" type="noConversion"/>
  </si>
  <si>
    <t>C</t>
    <phoneticPr fontId="11" type="noConversion"/>
  </si>
  <si>
    <t>Z8</t>
  </si>
  <si>
    <t>Burn Fuel</t>
  </si>
  <si>
    <t>Mission Code</t>
    <phoneticPr fontId="11" type="noConversion"/>
  </si>
  <si>
    <t>Corvette</t>
    <phoneticPr fontId="11" type="noConversion"/>
  </si>
  <si>
    <t>W2</t>
  </si>
  <si>
    <t>X2</t>
  </si>
  <si>
    <t>C</t>
    <phoneticPr fontId="11" type="noConversion"/>
  </si>
  <si>
    <t>AV</t>
    <phoneticPr fontId="11" type="noConversion"/>
  </si>
  <si>
    <t>Passive</t>
    <phoneticPr fontId="11" type="noConversion"/>
  </si>
  <si>
    <t>Permanent Connector</t>
    <phoneticPr fontId="11" type="noConversion"/>
  </si>
  <si>
    <t>Connector</t>
    <phoneticPr fontId="11" type="noConversion"/>
  </si>
  <si>
    <t>Op Fuel</t>
  </si>
  <si>
    <t>Exp</t>
    <phoneticPr fontId="11" type="noConversion"/>
  </si>
  <si>
    <t>CommPlus</t>
    <phoneticPr fontId="11" type="noConversion"/>
  </si>
  <si>
    <t>Gig</t>
    <phoneticPr fontId="11" type="noConversion"/>
  </si>
  <si>
    <t>Pods &amp; Subhulls</t>
    <phoneticPr fontId="11" type="noConversion"/>
  </si>
  <si>
    <t>CommCaster</t>
  </si>
  <si>
    <t>Patrol</t>
    <phoneticPr fontId="11" type="noConversion"/>
  </si>
  <si>
    <t>P</t>
    <phoneticPr fontId="11" type="noConversion"/>
  </si>
  <si>
    <t>Hull</t>
    <phoneticPr fontId="11" type="noConversion"/>
  </si>
  <si>
    <t>C</t>
    <phoneticPr fontId="11" type="noConversion"/>
  </si>
  <si>
    <t>L</t>
    <phoneticPr fontId="11" type="noConversion"/>
  </si>
  <si>
    <t>A</t>
    <phoneticPr fontId="11" type="noConversion"/>
  </si>
  <si>
    <t>Passenger Shuttle</t>
    <phoneticPr fontId="11" type="noConversion"/>
  </si>
  <si>
    <t>ST</t>
    <phoneticPr fontId="11" type="noConversion"/>
  </si>
  <si>
    <t>Air/raft</t>
    <phoneticPr fontId="11" type="noConversion"/>
  </si>
  <si>
    <t>Battleship</t>
    <phoneticPr fontId="11" type="noConversion"/>
  </si>
  <si>
    <t>Pas High Statroom</t>
    <phoneticPr fontId="11" type="noConversion"/>
  </si>
  <si>
    <t>Pas Mid Stateroom</t>
    <phoneticPr fontId="11" type="noConversion"/>
  </si>
  <si>
    <t>Bracket</t>
    <phoneticPr fontId="11" type="noConversion"/>
  </si>
  <si>
    <t>Agility</t>
    <phoneticPr fontId="11" type="noConversion"/>
  </si>
  <si>
    <t>Truck-W</t>
    <phoneticPr fontId="11" type="noConversion"/>
  </si>
  <si>
    <t>Vshort</t>
    <phoneticPr fontId="11" type="noConversion"/>
  </si>
  <si>
    <t>Ju Fuel</t>
  </si>
  <si>
    <t>Def Mod</t>
  </si>
  <si>
    <t>SF</t>
    <phoneticPr fontId="11" type="noConversion"/>
  </si>
  <si>
    <t>Craft</t>
  </si>
  <si>
    <t>Drives</t>
  </si>
  <si>
    <t>Stealth Mask</t>
  </si>
  <si>
    <t>A</t>
    <phoneticPr fontId="11" type="noConversion"/>
  </si>
  <si>
    <t>F</t>
    <phoneticPr fontId="11" type="noConversion"/>
  </si>
  <si>
    <t>drive</t>
    <phoneticPr fontId="13" type="noConversion"/>
  </si>
  <si>
    <t>Preferred</t>
    <phoneticPr fontId="11" type="noConversion"/>
  </si>
  <si>
    <t>&lt;25 Dt overtonnage</t>
    <phoneticPr fontId="11" type="noConversion"/>
  </si>
  <si>
    <t>Fix Burn</t>
    <phoneticPr fontId="11" type="noConversion"/>
  </si>
  <si>
    <t>Hull</t>
    <phoneticPr fontId="11" type="noConversion"/>
  </si>
  <si>
    <t>Radar (default)</t>
    <phoneticPr fontId="11" type="noConversion"/>
  </si>
  <si>
    <t>Avg Filled Capacity</t>
    <phoneticPr fontId="11" type="noConversion"/>
  </si>
  <si>
    <t>Crew</t>
    <phoneticPr fontId="11" type="noConversion"/>
  </si>
  <si>
    <t>Spare Space</t>
    <phoneticPr fontId="11" type="noConversion"/>
  </si>
  <si>
    <t>e.g. for upgrades</t>
    <phoneticPr fontId="11" type="noConversion"/>
  </si>
  <si>
    <t>Screens</t>
    <phoneticPr fontId="11" type="noConversion"/>
  </si>
  <si>
    <t>Engineer</t>
    <phoneticPr fontId="11" type="noConversion"/>
  </si>
  <si>
    <t>Salvo Rack</t>
    <phoneticPr fontId="11" type="noConversion"/>
  </si>
  <si>
    <t>Coating</t>
    <phoneticPr fontId="11" type="noConversion"/>
  </si>
  <si>
    <t>Burn</t>
    <phoneticPr fontId="11" type="noConversion"/>
  </si>
  <si>
    <t>Clinic</t>
    <phoneticPr fontId="11" type="noConversion"/>
  </si>
  <si>
    <t>Analyzer / Sniffer</t>
    <phoneticPr fontId="11" type="noConversion"/>
  </si>
  <si>
    <t>Nuclear Damper</t>
  </si>
  <si>
    <t>Cost</t>
    <phoneticPr fontId="11" type="noConversion"/>
  </si>
  <si>
    <t>Missile</t>
    <phoneticPr fontId="11" type="noConversion"/>
  </si>
  <si>
    <t>Drive Size</t>
    <phoneticPr fontId="11" type="noConversion"/>
  </si>
  <si>
    <t>Drive Cost</t>
    <phoneticPr fontId="11" type="noConversion"/>
  </si>
  <si>
    <t>Vlong</t>
    <phoneticPr fontId="11" type="noConversion"/>
  </si>
  <si>
    <t>Screen Range Effects</t>
    <phoneticPr fontId="11" type="noConversion"/>
  </si>
  <si>
    <t>Fixed Cost</t>
    <phoneticPr fontId="11" type="noConversion"/>
  </si>
  <si>
    <t>1 500 Gm</t>
    <phoneticPr fontId="11" type="noConversion"/>
  </si>
  <si>
    <t>seven</t>
    <phoneticPr fontId="11" type="noConversion"/>
  </si>
  <si>
    <t>Hits (D)</t>
    <phoneticPr fontId="11" type="noConversion"/>
  </si>
  <si>
    <t>SubComps</t>
    <phoneticPr fontId="11" type="noConversion"/>
  </si>
  <si>
    <t>Stealth Mask</t>
    <phoneticPr fontId="11" type="noConversion"/>
  </si>
  <si>
    <t>Mount</t>
    <phoneticPr fontId="11" type="noConversion"/>
  </si>
  <si>
    <t>Antenna</t>
    <phoneticPr fontId="11" type="noConversion"/>
  </si>
  <si>
    <t>Ant</t>
    <phoneticPr fontId="11" type="noConversion"/>
  </si>
  <si>
    <t>Life Support</t>
    <phoneticPr fontId="11" type="noConversion"/>
  </si>
  <si>
    <t>Over/undertonnage:</t>
    <phoneticPr fontId="11" type="noConversion"/>
  </si>
  <si>
    <t>Passenger</t>
    <phoneticPr fontId="11" type="noConversion"/>
  </si>
  <si>
    <t xml:space="preserve">    Screen</t>
    <phoneticPr fontId="11" type="noConversion"/>
  </si>
  <si>
    <t>U3</t>
  </si>
  <si>
    <t>More space</t>
    <phoneticPr fontId="11" type="noConversion"/>
  </si>
  <si>
    <t>Compartment</t>
    <phoneticPr fontId="11" type="noConversion"/>
  </si>
  <si>
    <t>Sandcaster</t>
    <phoneticPr fontId="11" type="noConversion"/>
  </si>
  <si>
    <t>Ortillery</t>
    <phoneticPr fontId="11" type="noConversion"/>
  </si>
  <si>
    <t>CommCaster</t>
    <phoneticPr fontId="11" type="noConversion"/>
  </si>
  <si>
    <t>Radar</t>
    <phoneticPr fontId="11" type="noConversion"/>
  </si>
  <si>
    <t>EMS</t>
    <phoneticPr fontId="11" type="noConversion"/>
  </si>
  <si>
    <t>SLM Hybrid (Missile)</t>
    <phoneticPr fontId="11" type="noConversion"/>
  </si>
  <si>
    <t>Wings</t>
    <phoneticPr fontId="11" type="noConversion"/>
  </si>
  <si>
    <t>Pas Common Areas</t>
    <phoneticPr fontId="11" type="noConversion"/>
  </si>
  <si>
    <t>Pods &amp; Subhulls</t>
    <phoneticPr fontId="11" type="noConversion"/>
  </si>
  <si>
    <t>S</t>
    <phoneticPr fontId="11" type="noConversion"/>
  </si>
  <si>
    <t>ATV-T</t>
    <phoneticPr fontId="11" type="noConversion"/>
  </si>
  <si>
    <t>A</t>
    <phoneticPr fontId="11" type="noConversion"/>
  </si>
  <si>
    <t>Mount Def DM</t>
    <phoneticPr fontId="11" type="noConversion"/>
  </si>
  <si>
    <t>CrystalIron</t>
    <phoneticPr fontId="11" type="noConversion"/>
  </si>
  <si>
    <t>Code</t>
    <phoneticPr fontId="11" type="noConversion"/>
  </si>
  <si>
    <t>1 km</t>
    <phoneticPr fontId="11" type="noConversion"/>
  </si>
  <si>
    <t>VL</t>
    <phoneticPr fontId="11" type="noConversion"/>
  </si>
  <si>
    <t>Adaptable</t>
    <phoneticPr fontId="11" type="noConversion"/>
  </si>
  <si>
    <t>Crew:</t>
    <phoneticPr fontId="11" type="noConversion"/>
  </si>
  <si>
    <t>Z</t>
    <phoneticPr fontId="11" type="noConversion"/>
  </si>
  <si>
    <t>Max J Power</t>
    <phoneticPr fontId="11" type="noConversion"/>
  </si>
  <si>
    <t>Fuel, Reaction</t>
    <phoneticPr fontId="11" type="noConversion"/>
  </si>
  <si>
    <t>Lacks Power</t>
    <phoneticPr fontId="11" type="noConversion"/>
  </si>
  <si>
    <t>AR</t>
    <phoneticPr fontId="11" type="noConversion"/>
  </si>
  <si>
    <t>Fix Trac</t>
    <phoneticPr fontId="11" type="noConversion"/>
  </si>
  <si>
    <t>Range</t>
    <phoneticPr fontId="11" type="noConversion"/>
  </si>
  <si>
    <t>Jump fuel replaced</t>
    <phoneticPr fontId="11" type="noConversion"/>
  </si>
  <si>
    <t>Mod for J-field</t>
    <phoneticPr fontId="11" type="noConversion"/>
  </si>
  <si>
    <t>Controls</t>
    <phoneticPr fontId="11" type="noConversion"/>
  </si>
  <si>
    <t>Size</t>
    <phoneticPr fontId="11" type="noConversion"/>
  </si>
  <si>
    <t>Fuel, Power</t>
    <phoneticPr fontId="11" type="noConversion"/>
  </si>
  <si>
    <t>Range</t>
    <phoneticPr fontId="11" type="noConversion"/>
  </si>
  <si>
    <t>Craft</t>
    <phoneticPr fontId="11" type="noConversion"/>
  </si>
  <si>
    <t>TL</t>
    <phoneticPr fontId="11" type="noConversion"/>
  </si>
  <si>
    <t>Agility</t>
    <phoneticPr fontId="11" type="noConversion"/>
  </si>
  <si>
    <t>Bay</t>
    <phoneticPr fontId="11" type="noConversion"/>
  </si>
  <si>
    <t>Radiation Sensor</t>
    <phoneticPr fontId="11" type="noConversion"/>
  </si>
  <si>
    <t>Ice Bin</t>
    <phoneticPr fontId="11" type="noConversion"/>
  </si>
  <si>
    <t>M</t>
    <phoneticPr fontId="11" type="noConversion"/>
  </si>
  <si>
    <t>Phot</t>
    <phoneticPr fontId="11" type="noConversion"/>
  </si>
  <si>
    <t>ManN</t>
    <phoneticPr fontId="11" type="noConversion"/>
  </si>
  <si>
    <t>Cr Freshers, Shared</t>
    <phoneticPr fontId="11" type="noConversion"/>
  </si>
  <si>
    <t>Shuttle, Heavy</t>
    <phoneticPr fontId="11" type="noConversion"/>
  </si>
  <si>
    <t>Speed</t>
    <phoneticPr fontId="11" type="noConversion"/>
  </si>
  <si>
    <t>W5</t>
  </si>
  <si>
    <t>Cells</t>
    <phoneticPr fontId="11" type="noConversion"/>
  </si>
  <si>
    <t>Code</t>
  </si>
  <si>
    <t>T</t>
    <phoneticPr fontId="11" type="noConversion"/>
  </si>
  <si>
    <t>Coating</t>
    <phoneticPr fontId="11" type="noConversion"/>
  </si>
  <si>
    <t>A</t>
    <phoneticPr fontId="11" type="noConversion"/>
  </si>
  <si>
    <t>Sensors</t>
    <phoneticPr fontId="11" type="noConversion"/>
  </si>
  <si>
    <t>Duplicate calcs to determine default desired stage</t>
    <phoneticPr fontId="11" type="noConversion"/>
  </si>
  <si>
    <t>Non-mechanism Functions</t>
    <phoneticPr fontId="11" type="noConversion"/>
  </si>
  <si>
    <t>Drop Tanks (95% fuel)</t>
    <phoneticPr fontId="11" type="noConversion"/>
  </si>
  <si>
    <t>Bracket</t>
    <phoneticPr fontId="11" type="noConversion"/>
  </si>
  <si>
    <t>HitLocs</t>
    <phoneticPr fontId="11" type="noConversion"/>
  </si>
  <si>
    <t>Description</t>
    <phoneticPr fontId="13" type="noConversion"/>
  </si>
  <si>
    <t>Span</t>
    <phoneticPr fontId="11" type="noConversion"/>
  </si>
  <si>
    <t>Bridge</t>
    <phoneticPr fontId="11" type="noConversion"/>
  </si>
  <si>
    <t>steerage berth</t>
    <phoneticPr fontId="13" type="noConversion"/>
  </si>
  <si>
    <t>Small Craft</t>
    <phoneticPr fontId="11" type="noConversion"/>
  </si>
  <si>
    <t>Ship</t>
    <phoneticPr fontId="11" type="noConversion"/>
  </si>
  <si>
    <t>accomodations</t>
    <phoneticPr fontId="13" type="noConversion"/>
  </si>
  <si>
    <t>Or</t>
    <phoneticPr fontId="11" type="noConversion"/>
  </si>
  <si>
    <t>Deep Space2</t>
    <phoneticPr fontId="11" type="noConversion"/>
  </si>
  <si>
    <t>Weapons</t>
    <phoneticPr fontId="11" type="noConversion"/>
  </si>
  <si>
    <t xml:space="preserve">    Pilot</t>
    <phoneticPr fontId="11" type="noConversion"/>
  </si>
  <si>
    <t>Submersible</t>
    <phoneticPr fontId="11" type="noConversion"/>
  </si>
  <si>
    <t>150 Gm</t>
    <phoneticPr fontId="11" type="noConversion"/>
  </si>
  <si>
    <t>DefaultMount</t>
    <phoneticPr fontId="11" type="noConversion"/>
  </si>
  <si>
    <t>Plate</t>
    <phoneticPr fontId="11" type="noConversion"/>
  </si>
  <si>
    <t>Valid</t>
    <phoneticPr fontId="11" type="noConversion"/>
  </si>
  <si>
    <t>Crew</t>
    <phoneticPr fontId="13" type="noConversion"/>
  </si>
  <si>
    <t>crew</t>
    <phoneticPr fontId="13" type="noConversion"/>
  </si>
  <si>
    <t>Code to post:</t>
    <phoneticPr fontId="11" type="noConversion"/>
  </si>
  <si>
    <t>Ult</t>
    <phoneticPr fontId="11" type="noConversion"/>
  </si>
  <si>
    <t>Fuel</t>
    <phoneticPr fontId="11" type="noConversion"/>
  </si>
  <si>
    <t>S= Size</t>
    <phoneticPr fontId="11" type="noConversion"/>
  </si>
  <si>
    <t>S= Cost</t>
    <phoneticPr fontId="11" type="noConversion"/>
  </si>
  <si>
    <t>Down Payment MCr</t>
    <phoneticPr fontId="11" type="noConversion"/>
  </si>
  <si>
    <t>Anti-Blast</t>
    <phoneticPr fontId="11" type="noConversion"/>
  </si>
  <si>
    <t>Anti-EMP</t>
    <phoneticPr fontId="11" type="noConversion"/>
  </si>
  <si>
    <t>Code</t>
    <phoneticPr fontId="11" type="noConversion"/>
  </si>
  <si>
    <t>Incr Agility</t>
    <phoneticPr fontId="11" type="noConversion"/>
  </si>
  <si>
    <t>Meson</t>
    <phoneticPr fontId="11" type="noConversion"/>
  </si>
  <si>
    <t>Heat/Beam</t>
    <phoneticPr fontId="11" type="noConversion"/>
  </si>
  <si>
    <t>Pressure</t>
    <phoneticPr fontId="11" type="noConversion"/>
  </si>
  <si>
    <t>Sensors</t>
    <phoneticPr fontId="11" type="noConversion"/>
  </si>
  <si>
    <t>stateroom</t>
    <phoneticPr fontId="13" type="noConversion"/>
  </si>
  <si>
    <t>Sound Sensor</t>
    <phoneticPr fontId="11" type="noConversion"/>
  </si>
  <si>
    <t>Fix Pres</t>
    <phoneticPr fontId="11" type="noConversion"/>
  </si>
  <si>
    <t>Min Mount</t>
    <phoneticPr fontId="11" type="noConversion"/>
  </si>
  <si>
    <t>kCr</t>
    <phoneticPr fontId="11" type="noConversion"/>
  </si>
  <si>
    <t>Desired</t>
    <phoneticPr fontId="11" type="noConversion"/>
  </si>
  <si>
    <t>Maintenance</t>
    <phoneticPr fontId="11" type="noConversion"/>
  </si>
  <si>
    <t>Weapons</t>
    <phoneticPr fontId="11" type="noConversion"/>
  </si>
  <si>
    <t>Float</t>
    <phoneticPr fontId="11" type="noConversion"/>
  </si>
  <si>
    <t>Overtonnage</t>
    <phoneticPr fontId="11" type="noConversion"/>
  </si>
  <si>
    <t>V</t>
    <phoneticPr fontId="11" type="noConversion"/>
  </si>
  <si>
    <t>R2</t>
  </si>
  <si>
    <t>S2</t>
  </si>
  <si>
    <t>M</t>
    <phoneticPr fontId="11" type="noConversion"/>
  </si>
  <si>
    <t>OC</t>
    <phoneticPr fontId="11" type="noConversion"/>
  </si>
  <si>
    <t>Sum / Needed -&gt;</t>
    <phoneticPr fontId="11" type="noConversion"/>
  </si>
  <si>
    <t>Arm mod</t>
    <phoneticPr fontId="11" type="noConversion"/>
  </si>
  <si>
    <t>Cost, streaml</t>
    <phoneticPr fontId="11" type="noConversion"/>
  </si>
  <si>
    <t>Max Size</t>
    <phoneticPr fontId="11" type="noConversion"/>
  </si>
  <si>
    <t>∆S</t>
    <phoneticPr fontId="11" type="noConversion"/>
  </si>
  <si>
    <t xml:space="preserve">    Steward</t>
    <phoneticPr fontId="11" type="noConversion"/>
  </si>
  <si>
    <t>Mod</t>
    <phoneticPr fontId="11" type="noConversion"/>
  </si>
  <si>
    <t>Frigate</t>
    <phoneticPr fontId="11" type="noConversion"/>
  </si>
  <si>
    <t>Destroyer</t>
    <phoneticPr fontId="11" type="noConversion"/>
  </si>
  <si>
    <t>C</t>
    <phoneticPr fontId="11" type="noConversion"/>
  </si>
  <si>
    <t>T</t>
    <phoneticPr fontId="11" type="noConversion"/>
  </si>
  <si>
    <t>F</t>
    <phoneticPr fontId="11" type="noConversion"/>
  </si>
  <si>
    <t>F</t>
    <phoneticPr fontId="11" type="noConversion"/>
  </si>
  <si>
    <t>D</t>
    <phoneticPr fontId="11" type="noConversion"/>
  </si>
  <si>
    <t>Principle</t>
    <phoneticPr fontId="11" type="noConversion"/>
  </si>
  <si>
    <t>Total Drive Capacity</t>
    <phoneticPr fontId="11" type="noConversion"/>
  </si>
  <si>
    <t>Communicator</t>
    <phoneticPr fontId="11" type="noConversion"/>
  </si>
  <si>
    <t>Approximate Result</t>
    <phoneticPr fontId="13" type="noConversion"/>
  </si>
  <si>
    <t>Armour</t>
    <phoneticPr fontId="11" type="noConversion"/>
  </si>
  <si>
    <t>Internal</t>
    <phoneticPr fontId="11" type="noConversion"/>
  </si>
  <si>
    <t>External</t>
    <phoneticPr fontId="11" type="noConversion"/>
  </si>
  <si>
    <t>Not streamlined</t>
    <phoneticPr fontId="13" type="noConversion"/>
  </si>
  <si>
    <t>Friction</t>
    <phoneticPr fontId="11" type="noConversion"/>
  </si>
  <si>
    <t>Q R E B S</t>
    <phoneticPr fontId="11" type="noConversion"/>
  </si>
  <si>
    <t>DS</t>
    <phoneticPr fontId="11" type="noConversion"/>
  </si>
  <si>
    <t>Anti-Layer</t>
    <phoneticPr fontId="11" type="noConversion"/>
  </si>
  <si>
    <t>zero</t>
    <phoneticPr fontId="11" type="noConversion"/>
  </si>
  <si>
    <t>Crew</t>
    <phoneticPr fontId="11" type="noConversion"/>
  </si>
  <si>
    <t>Particle</t>
    <phoneticPr fontId="11" type="noConversion"/>
  </si>
  <si>
    <t>Standard</t>
    <phoneticPr fontId="11" type="noConversion"/>
  </si>
  <si>
    <t>Do not copy right; cell refs replaced with numbers for LibreOffice</t>
    <phoneticPr fontId="11" type="noConversion"/>
  </si>
  <si>
    <t>Lifters</t>
    <phoneticPr fontId="11" type="noConversion"/>
  </si>
  <si>
    <t>Q2</t>
  </si>
  <si>
    <t>Drive:</t>
    <phoneticPr fontId="11" type="noConversion"/>
  </si>
  <si>
    <t>Beam Laser</t>
    <phoneticPr fontId="11" type="noConversion"/>
  </si>
  <si>
    <t>Enclosed air/raft</t>
    <phoneticPr fontId="11" type="noConversion"/>
  </si>
  <si>
    <t>Ground car</t>
    <phoneticPr fontId="11" type="noConversion"/>
  </si>
  <si>
    <t>Mod</t>
    <phoneticPr fontId="11" type="noConversion"/>
  </si>
  <si>
    <t>AV</t>
    <phoneticPr fontId="11" type="noConversion"/>
  </si>
  <si>
    <t>Surface/Bolt-in</t>
    <phoneticPr fontId="11" type="noConversion"/>
  </si>
  <si>
    <t>Mass Sensor</t>
    <phoneticPr fontId="11" type="noConversion"/>
  </si>
  <si>
    <t>B2</t>
    <phoneticPr fontId="11" type="noConversion"/>
  </si>
  <si>
    <t>Common Areas</t>
    <phoneticPr fontId="11" type="noConversion"/>
  </si>
  <si>
    <t>LBay</t>
    <phoneticPr fontId="11" type="noConversion"/>
  </si>
  <si>
    <t>Main</t>
    <phoneticPr fontId="11" type="noConversion"/>
  </si>
  <si>
    <t>JumpD</t>
    <phoneticPr fontId="11" type="noConversion"/>
  </si>
  <si>
    <t>Cost</t>
    <phoneticPr fontId="11" type="noConversion"/>
  </si>
  <si>
    <t>Surface/Bolt-in</t>
  </si>
  <si>
    <t>Geneered</t>
    <phoneticPr fontId="11" type="noConversion"/>
  </si>
  <si>
    <t>Specialists</t>
    <phoneticPr fontId="11" type="noConversion"/>
  </si>
  <si>
    <t>Double</t>
    <phoneticPr fontId="11" type="noConversion"/>
  </si>
  <si>
    <t>Rng-2, TL-2</t>
    <phoneticPr fontId="11" type="noConversion"/>
  </si>
  <si>
    <t>Fix EMP</t>
    <phoneticPr fontId="11" type="noConversion"/>
  </si>
  <si>
    <t>Demand</t>
    <phoneticPr fontId="11" type="noConversion"/>
  </si>
  <si>
    <t>medic</t>
    <phoneticPr fontId="13" type="noConversion"/>
  </si>
  <si>
    <t>Rail Gun</t>
    <phoneticPr fontId="11" type="noConversion"/>
  </si>
  <si>
    <t>Single</t>
  </si>
  <si>
    <t>Hold</t>
    <phoneticPr fontId="11" type="noConversion"/>
  </si>
  <si>
    <t>W4</t>
  </si>
  <si>
    <t>Hardpoint</t>
    <phoneticPr fontId="11" type="noConversion"/>
  </si>
  <si>
    <t>Very Smart (12)</t>
    <phoneticPr fontId="11" type="noConversion"/>
  </si>
  <si>
    <t>Folding Fins</t>
    <phoneticPr fontId="11" type="noConversion"/>
  </si>
  <si>
    <t>EMP</t>
    <phoneticPr fontId="11" type="noConversion"/>
  </si>
  <si>
    <t>Increase Hull</t>
    <phoneticPr fontId="11" type="noConversion"/>
  </si>
  <si>
    <t>Internal mounts</t>
    <phoneticPr fontId="11" type="noConversion"/>
  </si>
  <si>
    <t>Formula</t>
    <phoneticPr fontId="11" type="noConversion"/>
  </si>
  <si>
    <t>Year MCr</t>
    <phoneticPr fontId="11" type="noConversion"/>
  </si>
  <si>
    <t>Free / Cargo</t>
    <phoneticPr fontId="13" type="noConversion"/>
  </si>
  <si>
    <t>Span</t>
    <phoneticPr fontId="11" type="noConversion"/>
  </si>
  <si>
    <t>U2</t>
  </si>
  <si>
    <t>2,5 Gm</t>
    <phoneticPr fontId="11" type="noConversion"/>
  </si>
  <si>
    <t>Submer</t>
    <phoneticPr fontId="11" type="noConversion"/>
  </si>
  <si>
    <t>Life Detector</t>
    <phoneticPr fontId="11" type="noConversion"/>
  </si>
  <si>
    <t>Req EP:</t>
    <phoneticPr fontId="11" type="noConversion"/>
  </si>
  <si>
    <t>Elec</t>
    <phoneticPr fontId="11" type="noConversion"/>
  </si>
  <si>
    <t>Fuel</t>
    <phoneticPr fontId="11" type="noConversion"/>
  </si>
  <si>
    <t>Computer TL</t>
    <phoneticPr fontId="11" type="noConversion"/>
  </si>
  <si>
    <t>External Pods&amp;Subhulls</t>
    <phoneticPr fontId="11" type="noConversion"/>
  </si>
  <si>
    <t>Beam Laser</t>
  </si>
  <si>
    <t>Module for Cutter</t>
    <phoneticPr fontId="11" type="noConversion"/>
  </si>
  <si>
    <t>Decentralised - Fusion Plus</t>
    <phoneticPr fontId="11" type="noConversion"/>
  </si>
  <si>
    <t>Error</t>
    <phoneticPr fontId="11" type="noConversion"/>
  </si>
  <si>
    <t>Fuel</t>
    <phoneticPr fontId="11" type="noConversion"/>
  </si>
  <si>
    <t>#</t>
    <phoneticPr fontId="11" type="noConversion"/>
  </si>
  <si>
    <t>Passengers</t>
    <phoneticPr fontId="11" type="noConversion"/>
  </si>
  <si>
    <t>sensor</t>
    <phoneticPr fontId="13" type="noConversion"/>
  </si>
  <si>
    <t>Min Mount</t>
    <phoneticPr fontId="11" type="noConversion"/>
  </si>
  <si>
    <t>Table</t>
    <phoneticPr fontId="11" type="noConversion"/>
  </si>
  <si>
    <t>SA</t>
    <phoneticPr fontId="11" type="noConversion"/>
  </si>
  <si>
    <t>steward</t>
    <phoneticPr fontId="13" type="noConversion"/>
  </si>
  <si>
    <t>Jammer</t>
    <phoneticPr fontId="11" type="noConversion"/>
  </si>
  <si>
    <t>Polymer</t>
    <phoneticPr fontId="11" type="noConversion"/>
  </si>
  <si>
    <t>Jump Plate</t>
    <phoneticPr fontId="11" type="noConversion"/>
  </si>
  <si>
    <t>P Cost</t>
    <phoneticPr fontId="11" type="noConversion"/>
  </si>
  <si>
    <t>World Code</t>
    <phoneticPr fontId="11" type="noConversion"/>
  </si>
  <si>
    <t>ATV-W</t>
    <phoneticPr fontId="11" type="noConversion"/>
  </si>
  <si>
    <t>Vault, Mail</t>
    <phoneticPr fontId="11" type="noConversion"/>
  </si>
  <si>
    <t>Standard Craft</t>
    <phoneticPr fontId="11" type="noConversion"/>
  </si>
  <si>
    <t>Sensors</t>
    <phoneticPr fontId="13" type="noConversion"/>
  </si>
  <si>
    <t>Passengers</t>
  </si>
  <si>
    <t>Cargo</t>
  </si>
  <si>
    <t>Range</t>
    <phoneticPr fontId="11" type="noConversion"/>
  </si>
  <si>
    <t>Cost</t>
    <phoneticPr fontId="11" type="noConversion"/>
  </si>
  <si>
    <t>Shuttle, Assault</t>
    <phoneticPr fontId="11" type="noConversion"/>
  </si>
  <si>
    <t>Max Accel</t>
    <phoneticPr fontId="11" type="noConversion"/>
  </si>
  <si>
    <t>Select First</t>
    <phoneticPr fontId="11" type="noConversion"/>
  </si>
  <si>
    <t>Ship's Locker</t>
    <phoneticPr fontId="11" type="noConversion"/>
  </si>
  <si>
    <t>Same as INT</t>
    <phoneticPr fontId="11" type="noConversion"/>
  </si>
  <si>
    <t>EDU:</t>
    <phoneticPr fontId="11" type="noConversion"/>
  </si>
  <si>
    <t>Quality</t>
    <phoneticPr fontId="11" type="noConversion"/>
  </si>
  <si>
    <t>Surf mounts</t>
    <phoneticPr fontId="11" type="noConversion"/>
  </si>
  <si>
    <t>Paasenger Accomodation</t>
    <phoneticPr fontId="13" type="noConversion"/>
  </si>
  <si>
    <t>500 000 km</t>
    <phoneticPr fontId="11" type="noConversion"/>
  </si>
  <si>
    <t>Floatation</t>
    <phoneticPr fontId="11" type="noConversion"/>
  </si>
  <si>
    <t>Crew Accomodation</t>
    <phoneticPr fontId="13" type="noConversion"/>
  </si>
  <si>
    <t>accomodations</t>
    <phoneticPr fontId="13" type="noConversion"/>
  </si>
  <si>
    <t>officer stateroom</t>
    <phoneticPr fontId="13" type="noConversion"/>
  </si>
  <si>
    <t>Roomy</t>
    <phoneticPr fontId="11" type="noConversion"/>
  </si>
  <si>
    <t>Grav Scrambler</t>
    <phoneticPr fontId="11" type="noConversion"/>
  </si>
  <si>
    <t>Passenger Quarters</t>
    <phoneticPr fontId="11" type="noConversion"/>
  </si>
  <si>
    <t>Reduce overtonnage</t>
    <phoneticPr fontId="11" type="noConversion"/>
  </si>
  <si>
    <t>Cost</t>
    <phoneticPr fontId="11" type="noConversion"/>
  </si>
  <si>
    <t>External Craft</t>
    <phoneticPr fontId="11" type="noConversion"/>
  </si>
  <si>
    <t>Med Console</t>
    <phoneticPr fontId="11" type="noConversion"/>
  </si>
  <si>
    <t>Nuclear Damper</t>
    <phoneticPr fontId="11" type="noConversion"/>
  </si>
  <si>
    <t>Mining Laser</t>
    <phoneticPr fontId="11" type="noConversion"/>
  </si>
  <si>
    <t>Pulse Laser</t>
    <phoneticPr fontId="11" type="noConversion"/>
  </si>
  <si>
    <t>Launch Tube</t>
    <phoneticPr fontId="11" type="noConversion"/>
  </si>
  <si>
    <t>Wheels</t>
    <phoneticPr fontId="11" type="noConversion"/>
  </si>
  <si>
    <t>None</t>
  </si>
  <si>
    <t>None</t>
    <phoneticPr fontId="11" type="noConversion"/>
  </si>
  <si>
    <t>s</t>
    <phoneticPr fontId="13" type="noConversion"/>
  </si>
  <si>
    <t>Fusion Gun</t>
    <phoneticPr fontId="11" type="noConversion"/>
  </si>
  <si>
    <t>Size</t>
    <phoneticPr fontId="11" type="noConversion"/>
  </si>
  <si>
    <t>Cost</t>
    <phoneticPr fontId="11" type="noConversion"/>
  </si>
  <si>
    <t>screen</t>
    <phoneticPr fontId="13" type="noConversion"/>
  </si>
  <si>
    <t>Deep Space4</t>
    <phoneticPr fontId="11" type="noConversion"/>
  </si>
  <si>
    <t>Needs Jump Fuel</t>
    <phoneticPr fontId="11" type="noConversion"/>
  </si>
  <si>
    <t>Purifier</t>
    <phoneticPr fontId="11" type="noConversion"/>
  </si>
  <si>
    <t>SubCompartments</t>
    <phoneticPr fontId="11" type="noConversion"/>
  </si>
  <si>
    <t>Airframe</t>
    <phoneticPr fontId="13" type="noConversion"/>
  </si>
  <si>
    <t>R=</t>
    <phoneticPr fontId="11" type="noConversion"/>
  </si>
  <si>
    <t>Console, Operating</t>
    <phoneticPr fontId="11" type="noConversion"/>
  </si>
  <si>
    <t>Salaries</t>
    <phoneticPr fontId="11" type="noConversion"/>
  </si>
  <si>
    <t>Troop Accommodations</t>
    <phoneticPr fontId="11" type="noConversion"/>
  </si>
  <si>
    <t>∆S</t>
    <phoneticPr fontId="11" type="noConversion"/>
  </si>
  <si>
    <t>Weapons</t>
    <phoneticPr fontId="11" type="noConversion"/>
  </si>
  <si>
    <t>EXAMPLE</t>
    <phoneticPr fontId="11" type="noConversion"/>
  </si>
  <si>
    <t>Short</t>
    <phoneticPr fontId="11" type="noConversion"/>
  </si>
  <si>
    <t>Cutter, Modular</t>
    <phoneticPr fontId="11" type="noConversion"/>
  </si>
  <si>
    <t>Cost</t>
    <phoneticPr fontId="13" type="noConversion"/>
  </si>
  <si>
    <t>Compartments</t>
    <phoneticPr fontId="11" type="noConversion"/>
  </si>
  <si>
    <t>Porthole (default)</t>
    <phoneticPr fontId="11" type="noConversion"/>
  </si>
  <si>
    <t>Vs</t>
    <phoneticPr fontId="11" type="noConversion"/>
  </si>
  <si>
    <t>Elec Scrambler</t>
    <phoneticPr fontId="11" type="noConversion"/>
  </si>
  <si>
    <t>5 m</t>
    <phoneticPr fontId="11" type="noConversion"/>
  </si>
  <si>
    <t>Req Jump Power</t>
  </si>
  <si>
    <t>Distant</t>
    <phoneticPr fontId="11" type="noConversion"/>
  </si>
  <si>
    <t>FR</t>
    <phoneticPr fontId="11" type="noConversion"/>
  </si>
  <si>
    <t>5 km</t>
    <phoneticPr fontId="11" type="noConversion"/>
  </si>
  <si>
    <t>GCarrier</t>
    <phoneticPr fontId="11" type="noConversion"/>
  </si>
  <si>
    <t>Water Intake</t>
    <phoneticPr fontId="11" type="noConversion"/>
  </si>
  <si>
    <t>CC</t>
    <phoneticPr fontId="11" type="noConversion"/>
  </si>
  <si>
    <t>high stateroom</t>
    <phoneticPr fontId="13" type="noConversion"/>
  </si>
  <si>
    <t>stateroom</t>
    <phoneticPr fontId="13" type="noConversion"/>
  </si>
  <si>
    <t>S= TL</t>
    <phoneticPr fontId="11" type="noConversion"/>
  </si>
  <si>
    <t>administrator</t>
    <phoneticPr fontId="13" type="noConversion"/>
  </si>
  <si>
    <t>medic</t>
    <phoneticPr fontId="13" type="noConversion"/>
  </si>
  <si>
    <t>steward</t>
    <phoneticPr fontId="13" type="noConversion"/>
  </si>
  <si>
    <t>J</t>
    <phoneticPr fontId="11" type="noConversion"/>
  </si>
  <si>
    <t>K</t>
    <phoneticPr fontId="11" type="noConversion"/>
  </si>
  <si>
    <t>#</t>
    <phoneticPr fontId="11" type="noConversion"/>
  </si>
  <si>
    <t>Mid Stateroom</t>
    <phoneticPr fontId="11" type="noConversion"/>
  </si>
  <si>
    <t>Activity Sensor</t>
    <phoneticPr fontId="11" type="noConversion"/>
  </si>
  <si>
    <t>Fuel</t>
    <phoneticPr fontId="13" type="noConversion"/>
  </si>
  <si>
    <t>Orbit</t>
    <phoneticPr fontId="11" type="noConversion"/>
  </si>
  <si>
    <t>SR</t>
    <phoneticPr fontId="11" type="noConversion"/>
  </si>
  <si>
    <t>500 km</t>
    <phoneticPr fontId="11" type="noConversion"/>
  </si>
  <si>
    <t>&lt;50 Dt overtonnage</t>
    <phoneticPr fontId="11" type="noConversion"/>
  </si>
  <si>
    <t>Ablat</t>
    <phoneticPr fontId="11" type="noConversion"/>
  </si>
  <si>
    <t>Fold Wings</t>
    <phoneticPr fontId="11" type="noConversion"/>
  </si>
  <si>
    <t>Civilian</t>
  </si>
  <si>
    <t>Payload, Sophisticated</t>
    <phoneticPr fontId="11" type="noConversion"/>
  </si>
  <si>
    <t>Labs, Workspaces</t>
    <phoneticPr fontId="11" type="noConversion"/>
  </si>
  <si>
    <t>Pen</t>
    <phoneticPr fontId="11" type="noConversion"/>
  </si>
  <si>
    <t>Config / Struct</t>
    <phoneticPr fontId="11" type="noConversion"/>
  </si>
  <si>
    <t>gunner</t>
    <phoneticPr fontId="13" type="noConversion"/>
  </si>
  <si>
    <t>Proton Screen</t>
    <phoneticPr fontId="11" type="noConversion"/>
  </si>
  <si>
    <t>Int (+Flux)</t>
    <phoneticPr fontId="11" type="noConversion"/>
  </si>
  <si>
    <t>Educated EDU</t>
    <phoneticPr fontId="11" type="noConversion"/>
  </si>
  <si>
    <t>Brain:</t>
    <phoneticPr fontId="11" type="noConversion"/>
  </si>
  <si>
    <t>None</t>
    <phoneticPr fontId="11" type="noConversion"/>
  </si>
  <si>
    <t>Mining Laser</t>
  </si>
  <si>
    <t>Combat</t>
    <phoneticPr fontId="13" type="noConversion"/>
  </si>
  <si>
    <t>Size</t>
    <phoneticPr fontId="11" type="noConversion"/>
  </si>
  <si>
    <t>More space w/o increased hull</t>
    <phoneticPr fontId="11" type="noConversion"/>
  </si>
  <si>
    <t>Dumb (4)</t>
    <phoneticPr fontId="11" type="noConversion"/>
  </si>
  <si>
    <t>Normal (8)</t>
    <phoneticPr fontId="11" type="noConversion"/>
  </si>
  <si>
    <t>Pulse Laser</t>
  </si>
  <si>
    <t>Slug Thrower</t>
    <phoneticPr fontId="11" type="noConversion"/>
  </si>
  <si>
    <t>Size</t>
    <phoneticPr fontId="11" type="noConversion"/>
  </si>
  <si>
    <t>Civilian</t>
    <phoneticPr fontId="13" type="noConversion"/>
  </si>
  <si>
    <t>Surf</t>
    <phoneticPr fontId="11" type="noConversion"/>
  </si>
  <si>
    <t>Barracks</t>
    <phoneticPr fontId="11" type="noConversion"/>
  </si>
  <si>
    <t>Range Effect</t>
    <phoneticPr fontId="11" type="noConversion"/>
  </si>
  <si>
    <t>T2</t>
  </si>
</sst>
</file>

<file path=xl/styles.xml><?xml version="1.0" encoding="utf-8"?>
<styleSheet xmlns="http://schemas.openxmlformats.org/spreadsheetml/2006/main">
  <numFmts count="82">
    <numFmt numFmtId="164" formatCode="0;;"/>
    <numFmt numFmtId="165" formatCode="0.0%"/>
    <numFmt numFmtId="166" formatCode="0&quot; h&quot;;;"/>
    <numFmt numFmtId="167" formatCode="[Green]0;[Red]\-0;"/>
    <numFmt numFmtId="168" formatCode="&quot;Dam: &quot;0&quot;DD&quot;"/>
    <numFmt numFmtId="169" formatCode="#,##0&quot; dT&quot;;[Red]\-#,##0&quot; dT&quot;;"/>
    <numFmt numFmtId="170" formatCode="0;[Red]\-0;"/>
    <numFmt numFmtId="171" formatCode="\+0;\-0;\±0"/>
    <numFmt numFmtId="172" formatCode="&quot;TL &quot;0"/>
    <numFmt numFmtId="173" formatCode="&quot;Hull &quot;#\ ##0"/>
    <numFmt numFmtId="174" formatCode="#\ ##0.0;\-#\ ##0.0;"/>
    <numFmt numFmtId="175" formatCode="#,##0&quot; dT&quot;;[Red]\-0;"/>
    <numFmt numFmtId="176" formatCode="#,##0;[Red]\-#,##0;"/>
    <numFmt numFmtId="177" formatCode="&quot;∑ &quot;#,##0;[Red]\-#,##0;"/>
    <numFmt numFmtId="178" formatCode="0&quot; w&quot;;;"/>
    <numFmt numFmtId="179" formatCode="#,##0.0"/>
    <numFmt numFmtId="180" formatCode="#,##0.0;[Red]\-#,##0.0;"/>
    <numFmt numFmtId="181" formatCode="#,##0&quot; EP&quot;"/>
    <numFmt numFmtId="182" formatCode="0%;\-0%;0%"/>
    <numFmt numFmtId="183" formatCode="\+0;\-0;"/>
    <numFmt numFmtId="184" formatCode="0.0;\-0.0;"/>
    <numFmt numFmtId="185" formatCode="0;;0"/>
    <numFmt numFmtId="186" formatCode=";;[Red]&quot;Invalid&quot;"/>
    <numFmt numFmtId="187" formatCode="0.0;\-0.0;0.0"/>
    <numFmt numFmtId="188" formatCode="0;\-0;0"/>
    <numFmt numFmtId="189" formatCode="[Green]0;[Red]\-0;[Green]0"/>
    <numFmt numFmtId="190" formatCode="&quot;Ext&quot;;[Red]\-0;"/>
    <numFmt numFmtId="191" formatCode="&quot;De&quot;;[Red]\-0;"/>
    <numFmt numFmtId="192" formatCode="&quot;AV=&quot;0"/>
    <numFmt numFmtId="193" formatCode="&quot;Ergonomy &quot;\+0;&quot;Ergonomy &quot;\-0;&quot;Ergonomy &quot;\±0"/>
    <numFmt numFmtId="194" formatCode="&quot;Comfort &quot;\+0;&quot;Comfort &quot;\-0;&quot;Comfort &quot;\±0"/>
    <numFmt numFmtId="195" formatCode="&quot;Demand &quot;\+0;&quot;Demand &quot;\-0;&quot;Demand &quot;\±0"/>
    <numFmt numFmtId="196" formatCode="&quot;∆TL &quot;0;&quot;∆TL &quot;\-0;&quot;∆TL &quot;\±0"/>
    <numFmt numFmtId="197" formatCode="&quot;C+S=&quot;0;;"/>
    <numFmt numFmtId="198" formatCode="&quot;bis&quot;;[Red]\-0;"/>
    <numFmt numFmtId="199" formatCode="&quot;fib&quot;;[Red]\-0;"/>
    <numFmt numFmtId="200" formatCode="&quot;m/&quot;0;;"/>
    <numFmt numFmtId="201" formatCode="&quot;TL=&quot;0;;"/>
    <numFmt numFmtId="202" formatCode="&quot;Long term&quot;;&quot;Short term&quot;;&quot;Short term&quot;"/>
    <numFmt numFmtId="203" formatCode="#,##0&quot; Dt&quot;;[Red]\-#,##0&quot; Dt&quot;;"/>
    <numFmt numFmtId="204" formatCode="#,##0.0&quot; Dt&quot;;[Red]\-#,##0.0&quot; Dt&quot;;"/>
    <numFmt numFmtId="205" formatCode="#,##0.0&quot; dT&quot;;[Red]\-#,##0&quot; dT&quot;;"/>
    <numFmt numFmtId="206" formatCode="#,##0&quot; Dt/h&quot;;;"/>
    <numFmt numFmtId="207" formatCode="#,##0&quot; Dt&quot;;;"/>
    <numFmt numFmtId="208" formatCode="#,##0.0;[Red]\-#,##0.0;#,##0.0"/>
    <numFmt numFmtId="209" formatCode="0.0%;[Red]\-0.0%;0.0%"/>
    <numFmt numFmtId="210" formatCode="&quot;MCr &quot;#,##0"/>
    <numFmt numFmtId="211" formatCode="#,##0&quot; Dt&quot;"/>
    <numFmt numFmtId="212" formatCode="&quot;Military &quot;0;&quot;Military &quot;\-0;&quot;Civilian &quot;0"/>
    <numFmt numFmtId="213" formatCode="[Green]0.0;[Color45]\-0.0;[Green]0.0"/>
    <numFmt numFmtId="214" formatCode="\+0%;\-0%;\±0%"/>
    <numFmt numFmtId="215" formatCode="\+0;\-0;0"/>
    <numFmt numFmtId="216" formatCode="&quot;Safe: &quot;#,##0&quot; D&quot;;[Red]\-#,##0;"/>
    <numFmt numFmtId="217" formatCode="&quot;D=&quot;#,##0&quot; m&quot;;[Red]\-#,##0;"/>
    <numFmt numFmtId="218" formatCode="&quot;Ergonomics &quot;\+0;&quot;Ergonomics &quot;\-0;&quot;Ergonomics &quot;\±0"/>
    <numFmt numFmtId="219" formatCode="0&quot; Persons&quot;"/>
    <numFmt numFmtId="220" formatCode="#,##0.0&quot; Dt&quot;;[Red]\-#,##0.0&quot; Dt&quot;;0.0&quot; Dt&quot;"/>
    <numFmt numFmtId="221" formatCode="#,##0;&quot;Auto&quot;;0"/>
    <numFmt numFmtId="222" formatCode="#,##0.0&quot; Dt&quot;;\-#,##0.0&quot; Dt&quot;;"/>
    <numFmt numFmtId="223" formatCode="[Green]0.0;[Color45]\-0.0;"/>
    <numFmt numFmtId="224" formatCode="#,##0;\-#,##0;;"/>
    <numFmt numFmtId="225" formatCode="0%;\-0%;"/>
    <numFmt numFmtId="226" formatCode="0;[Red]\-0;0"/>
    <numFmt numFmtId="227" formatCode="0;&quot;Auto&quot;"/>
    <numFmt numFmtId="228" formatCode="0&quot; t&quot;;;"/>
    <numFmt numFmtId="229" formatCode="0;[Red]\-0"/>
    <numFmt numFmtId="230" formatCode="&quot;J-&quot;0;;"/>
    <numFmt numFmtId="231" formatCode="&quot;J-&quot;0;"/>
    <numFmt numFmtId="232" formatCode="0&quot;*&quot;"/>
    <numFmt numFmtId="233" formatCode="&quot;TL&quot;"/>
    <numFmt numFmtId="234" formatCode="#,##0&quot; EP&quot;;;"/>
    <numFmt numFmtId="235" formatCode="&quot;Flash &quot;0;[Red]&quot;Flash &quot;\-0;"/>
    <numFmt numFmtId="236" formatCode="&quot;Bu&quot;;&quot;Pl&quot;;&quot;Gr&quot;"/>
    <numFmt numFmtId="237" formatCode="&quot;Bubb&quot;;&quot;Plate&quot;;&quot;Grid&quot;"/>
    <numFmt numFmtId="238" formatCode="#,##0;;"/>
    <numFmt numFmtId="239" formatCode="#,##0.0;[Color45]\-#,##0.0;"/>
    <numFmt numFmtId="240" formatCode="&quot;Long term&quot;;&quot;Short term&quot;;&quot;Standard&quot;"/>
    <numFmt numFmtId="241" formatCode="&quot;Long term&quot;;&quot;Standard&quot;;&quot;Standard&quot;"/>
    <numFmt numFmtId="242" formatCode="&quot;Drive Formulæ&quot;;&quot;Drive Table&quot;;&quot;Drive EP Calc&quot;"/>
    <numFmt numFmtId="243" formatCode="&quot;Size = &quot;0"/>
    <numFmt numFmtId="244" formatCode="#,##0"/>
    <numFmt numFmtId="246" formatCode="0.00"/>
  </numFmts>
  <fonts count="24"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sz val="10"/>
      <color indexed="53"/>
      <name val="Verdana"/>
    </font>
    <font>
      <sz val="8"/>
      <name val="Geneva"/>
    </font>
    <font>
      <b/>
      <sz val="10"/>
      <color indexed="25"/>
      <name val="Verdana"/>
    </font>
    <font>
      <sz val="12"/>
      <name val="Verdana"/>
    </font>
    <font>
      <sz val="10"/>
      <name val="Lucida Console"/>
    </font>
    <font>
      <sz val="14"/>
      <name val="Verdana"/>
    </font>
    <font>
      <b/>
      <sz val="14"/>
      <name val="Verdana"/>
    </font>
    <font>
      <b/>
      <sz val="10"/>
      <color indexed="10"/>
      <name val="Verdana"/>
    </font>
    <font>
      <sz val="10"/>
      <color indexed="55"/>
      <name val="Verdana"/>
    </font>
    <font>
      <b/>
      <sz val="10"/>
      <color indexed="55"/>
      <name val="Verdana"/>
    </font>
    <font>
      <b/>
      <sz val="10"/>
      <color indexed="9"/>
      <name val="Verdana"/>
    </font>
    <font>
      <sz val="10"/>
      <color indexed="9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Alignment="1">
      <alignment horizontal="right"/>
    </xf>
    <xf numFmtId="0" fontId="10" fillId="0" borderId="0" xfId="0" applyFont="1"/>
    <xf numFmtId="164" fontId="0" fillId="0" borderId="0" xfId="0" applyNumberFormat="1"/>
    <xf numFmtId="164" fontId="10" fillId="0" borderId="0" xfId="0" applyNumberFormat="1" applyFont="1"/>
    <xf numFmtId="9" fontId="0" fillId="0" borderId="0" xfId="0" applyNumberFormat="1"/>
    <xf numFmtId="10" fontId="0" fillId="0" borderId="0" xfId="0" applyNumberFormat="1"/>
    <xf numFmtId="165" fontId="0" fillId="0" borderId="0" xfId="0" applyNumberFormat="1"/>
    <xf numFmtId="165" fontId="0" fillId="0" borderId="0" xfId="0" applyNumberFormat="1"/>
    <xf numFmtId="9" fontId="0" fillId="0" borderId="0" xfId="0" applyNumberFormat="1"/>
    <xf numFmtId="164" fontId="0" fillId="2" borderId="0" xfId="0" applyNumberFormat="1" applyFill="1"/>
    <xf numFmtId="9" fontId="0" fillId="2" borderId="0" xfId="0" applyNumberFormat="1" applyFill="1"/>
    <xf numFmtId="164" fontId="0" fillId="0" borderId="0" xfId="0" applyNumberFormat="1"/>
    <xf numFmtId="164" fontId="9" fillId="0" borderId="0" xfId="0" applyNumberFormat="1" applyFont="1"/>
    <xf numFmtId="166" fontId="10" fillId="0" borderId="0" xfId="0" applyNumberFormat="1" applyFont="1"/>
    <xf numFmtId="0" fontId="0" fillId="0" borderId="0" xfId="0" applyAlignment="1">
      <alignment horizontal="left"/>
    </xf>
    <xf numFmtId="0" fontId="0" fillId="2" borderId="0" xfId="0" applyFill="1"/>
    <xf numFmtId="0" fontId="9" fillId="0" borderId="0" xfId="0" applyFont="1"/>
    <xf numFmtId="9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4" fontId="0" fillId="2" borderId="0" xfId="0" applyNumberFormat="1" applyFill="1"/>
    <xf numFmtId="164" fontId="0" fillId="0" borderId="0" xfId="0" applyNumberFormat="1"/>
    <xf numFmtId="0" fontId="8" fillId="0" borderId="0" xfId="0" applyFont="1" applyAlignment="1">
      <alignment horizontal="right"/>
    </xf>
    <xf numFmtId="167" fontId="0" fillId="0" borderId="0" xfId="0" applyNumberFormat="1" applyAlignment="1">
      <alignment horizontal="right"/>
    </xf>
    <xf numFmtId="171" fontId="0" fillId="0" borderId="0" xfId="0" applyNumberFormat="1"/>
    <xf numFmtId="170" fontId="0" fillId="2" borderId="0" xfId="0" applyNumberFormat="1" applyFill="1"/>
    <xf numFmtId="170" fontId="0" fillId="0" borderId="0" xfId="0" applyNumberFormat="1"/>
    <xf numFmtId="170" fontId="0" fillId="2" borderId="0" xfId="0" applyNumberFormat="1" applyFill="1"/>
    <xf numFmtId="170" fontId="0" fillId="0" borderId="0" xfId="0" applyNumberFormat="1"/>
    <xf numFmtId="173" fontId="9" fillId="0" borderId="0" xfId="0" applyNumberFormat="1" applyFont="1" applyAlignment="1">
      <alignment horizontal="left"/>
    </xf>
    <xf numFmtId="174" fontId="10" fillId="0" borderId="0" xfId="0" applyNumberFormat="1" applyFont="1"/>
    <xf numFmtId="9" fontId="0" fillId="0" borderId="0" xfId="0" applyNumberFormat="1"/>
    <xf numFmtId="175" fontId="0" fillId="2" borderId="0" xfId="0" applyNumberFormat="1" applyFill="1"/>
    <xf numFmtId="172" fontId="10" fillId="2" borderId="0" xfId="0" applyNumberFormat="1" applyFont="1" applyFill="1" applyAlignment="1">
      <alignment horizontal="left"/>
    </xf>
    <xf numFmtId="176" fontId="0" fillId="0" borderId="0" xfId="0" applyNumberFormat="1"/>
    <xf numFmtId="177" fontId="0" fillId="0" borderId="0" xfId="0" applyNumberFormat="1"/>
    <xf numFmtId="176" fontId="0" fillId="0" borderId="0" xfId="0" applyNumberFormat="1"/>
    <xf numFmtId="178" fontId="10" fillId="0" borderId="0" xfId="0" applyNumberFormat="1" applyFont="1"/>
    <xf numFmtId="179" fontId="0" fillId="0" borderId="0" xfId="0" applyNumberFormat="1"/>
    <xf numFmtId="169" fontId="0" fillId="0" borderId="0" xfId="0" applyNumberFormat="1" applyAlignment="1"/>
    <xf numFmtId="0" fontId="7" fillId="0" borderId="0" xfId="0" applyFont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80" fontId="0" fillId="0" borderId="0" xfId="0" applyNumberFormat="1"/>
    <xf numFmtId="176" fontId="0" fillId="0" borderId="0" xfId="0" applyNumberFormat="1"/>
    <xf numFmtId="164" fontId="0" fillId="0" borderId="0" xfId="0" applyNumberFormat="1"/>
    <xf numFmtId="167" fontId="0" fillId="0" borderId="0" xfId="0" applyNumberFormat="1" applyAlignment="1">
      <alignment horizontal="right"/>
    </xf>
    <xf numFmtId="0" fontId="6" fillId="0" borderId="0" xfId="0" applyFont="1" applyAlignment="1">
      <alignment horizontal="right"/>
    </xf>
    <xf numFmtId="180" fontId="0" fillId="0" borderId="0" xfId="0" applyNumberFormat="1"/>
    <xf numFmtId="1" fontId="0" fillId="0" borderId="0" xfId="0" applyNumberFormat="1"/>
    <xf numFmtId="181" fontId="0" fillId="0" borderId="0" xfId="0" applyNumberFormat="1"/>
    <xf numFmtId="0" fontId="5" fillId="0" borderId="0" xfId="0" applyFont="1"/>
    <xf numFmtId="0" fontId="6" fillId="0" borderId="0" xfId="0" applyFont="1"/>
    <xf numFmtId="183" fontId="0" fillId="0" borderId="0" xfId="0" applyNumberFormat="1"/>
    <xf numFmtId="184" fontId="0" fillId="2" borderId="0" xfId="0" applyNumberFormat="1" applyFill="1"/>
    <xf numFmtId="171" fontId="0" fillId="2" borderId="0" xfId="0" applyNumberFormat="1" applyFill="1"/>
    <xf numFmtId="171" fontId="10" fillId="0" borderId="0" xfId="0" applyNumberFormat="1" applyFont="1"/>
    <xf numFmtId="171" fontId="6" fillId="0" borderId="0" xfId="0" applyNumberFormat="1" applyFont="1"/>
    <xf numFmtId="9" fontId="0" fillId="0" borderId="0" xfId="0" applyNumberFormat="1"/>
    <xf numFmtId="170" fontId="0" fillId="0" borderId="0" xfId="0" applyNumberFormat="1"/>
    <xf numFmtId="0" fontId="0" fillId="2" borderId="0" xfId="0" applyFill="1" applyAlignment="1">
      <alignment horizontal="left"/>
    </xf>
    <xf numFmtId="171" fontId="0" fillId="0" borderId="0" xfId="0" applyNumberFormat="1"/>
    <xf numFmtId="185" fontId="10" fillId="0" borderId="0" xfId="0" applyNumberFormat="1" applyFont="1"/>
    <xf numFmtId="0" fontId="0" fillId="0" borderId="0" xfId="0" applyAlignment="1">
      <alignment horizontal="left"/>
    </xf>
    <xf numFmtId="186" fontId="0" fillId="0" borderId="0" xfId="0" applyNumberFormat="1" applyAlignment="1">
      <alignment horizontal="left"/>
    </xf>
    <xf numFmtId="171" fontId="0" fillId="0" borderId="0" xfId="0" applyNumberFormat="1"/>
    <xf numFmtId="187" fontId="0" fillId="0" borderId="0" xfId="0" applyNumberFormat="1"/>
    <xf numFmtId="170" fontId="0" fillId="0" borderId="0" xfId="0" applyNumberFormat="1" applyAlignment="1">
      <alignment horizontal="right"/>
    </xf>
    <xf numFmtId="0" fontId="6" fillId="2" borderId="0" xfId="0" applyFont="1" applyFill="1"/>
    <xf numFmtId="1" fontId="5" fillId="0" borderId="0" xfId="0" applyNumberFormat="1" applyFont="1"/>
    <xf numFmtId="170" fontId="0" fillId="0" borderId="0" xfId="0" applyNumberFormat="1"/>
    <xf numFmtId="188" fontId="0" fillId="2" borderId="0" xfId="0" applyNumberFormat="1" applyFill="1"/>
    <xf numFmtId="9" fontId="0" fillId="0" borderId="0" xfId="0" applyNumberFormat="1"/>
    <xf numFmtId="176" fontId="5" fillId="0" borderId="0" xfId="0" applyNumberFormat="1" applyFont="1"/>
    <xf numFmtId="0" fontId="0" fillId="0" borderId="0" xfId="0" applyNumberFormat="1"/>
    <xf numFmtId="9" fontId="0" fillId="0" borderId="0" xfId="0" applyNumberFormat="1" applyAlignment="1">
      <alignment horizontal="left"/>
    </xf>
    <xf numFmtId="164" fontId="4" fillId="0" borderId="0" xfId="0" applyNumberFormat="1" applyFont="1"/>
    <xf numFmtId="180" fontId="0" fillId="0" borderId="0" xfId="0" applyNumberFormat="1"/>
    <xf numFmtId="190" fontId="0" fillId="2" borderId="0" xfId="0" applyNumberFormat="1" applyFill="1"/>
    <xf numFmtId="191" fontId="0" fillId="2" borderId="0" xfId="0" applyNumberFormat="1" applyFill="1"/>
    <xf numFmtId="190" fontId="0" fillId="2" borderId="0" xfId="0" applyNumberFormat="1" applyFill="1"/>
    <xf numFmtId="191" fontId="0" fillId="2" borderId="0" xfId="0" applyNumberFormat="1" applyFill="1"/>
    <xf numFmtId="9" fontId="0" fillId="0" borderId="0" xfId="0" applyNumberFormat="1"/>
    <xf numFmtId="170" fontId="0" fillId="0" borderId="0" xfId="0" applyNumberFormat="1"/>
    <xf numFmtId="192" fontId="0" fillId="0" borderId="0" xfId="0" applyNumberFormat="1" applyAlignment="1">
      <alignment horizontal="left"/>
    </xf>
    <xf numFmtId="9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1" fontId="0" fillId="0" borderId="0" xfId="0" applyNumberFormat="1"/>
    <xf numFmtId="181" fontId="0" fillId="0" borderId="0" xfId="0" applyNumberFormat="1" applyAlignment="1">
      <alignment horizontal="right"/>
    </xf>
    <xf numFmtId="194" fontId="3" fillId="0" borderId="0" xfId="0" applyNumberFormat="1" applyFont="1" applyAlignment="1">
      <alignment horizontal="left"/>
    </xf>
    <xf numFmtId="195" fontId="3" fillId="0" borderId="0" xfId="0" applyNumberFormat="1" applyFont="1" applyAlignment="1">
      <alignment horizontal="left"/>
    </xf>
    <xf numFmtId="0" fontId="2" fillId="0" borderId="0" xfId="0" applyFont="1"/>
    <xf numFmtId="171" fontId="0" fillId="0" borderId="0" xfId="0" applyNumberFormat="1" applyAlignment="1">
      <alignment horizontal="center"/>
    </xf>
    <xf numFmtId="2" fontId="0" fillId="0" borderId="0" xfId="0" applyNumberFormat="1"/>
    <xf numFmtId="183" fontId="1" fillId="0" borderId="0" xfId="0" applyNumberFormat="1" applyFont="1"/>
    <xf numFmtId="196" fontId="0" fillId="0" borderId="0" xfId="0" applyNumberFormat="1"/>
    <xf numFmtId="197" fontId="0" fillId="0" borderId="0" xfId="0" applyNumberFormat="1" applyAlignment="1">
      <alignment horizontal="left"/>
    </xf>
    <xf numFmtId="198" fontId="0" fillId="2" borderId="0" xfId="0" applyNumberFormat="1" applyFill="1"/>
    <xf numFmtId="199" fontId="0" fillId="2" borderId="0" xfId="0" applyNumberFormat="1" applyFill="1"/>
    <xf numFmtId="200" fontId="0" fillId="0" borderId="0" xfId="0" applyNumberFormat="1"/>
    <xf numFmtId="201" fontId="0" fillId="0" borderId="0" xfId="0" applyNumberFormat="1"/>
    <xf numFmtId="2" fontId="0" fillId="0" borderId="0" xfId="0" applyNumberFormat="1"/>
    <xf numFmtId="164" fontId="0" fillId="2" borderId="0" xfId="0" applyNumberFormat="1" applyFill="1"/>
    <xf numFmtId="176" fontId="0" fillId="0" borderId="0" xfId="0" applyNumberFormat="1"/>
    <xf numFmtId="202" fontId="0" fillId="2" borderId="0" xfId="0" applyNumberFormat="1" applyFill="1" applyAlignment="1">
      <alignment horizontal="left"/>
    </xf>
    <xf numFmtId="185" fontId="0" fillId="2" borderId="0" xfId="0" applyNumberFormat="1" applyFill="1"/>
    <xf numFmtId="165" fontId="0" fillId="0" borderId="0" xfId="0" applyNumberFormat="1" applyAlignment="1">
      <alignment horizontal="center"/>
    </xf>
    <xf numFmtId="203" fontId="0" fillId="0" borderId="0" xfId="0" applyNumberFormat="1" applyAlignment="1">
      <alignment horizontal="left"/>
    </xf>
    <xf numFmtId="20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205" fontId="0" fillId="0" borderId="0" xfId="0" applyNumberFormat="1" applyAlignment="1"/>
    <xf numFmtId="203" fontId="0" fillId="0" borderId="0" xfId="0" applyNumberFormat="1" applyAlignment="1">
      <alignment horizontal="left"/>
    </xf>
    <xf numFmtId="164" fontId="2" fillId="0" borderId="0" xfId="0" applyNumberFormat="1" applyFont="1"/>
    <xf numFmtId="206" fontId="0" fillId="0" borderId="0" xfId="0" applyNumberFormat="1" applyAlignment="1">
      <alignment horizontal="left"/>
    </xf>
    <xf numFmtId="207" fontId="0" fillId="0" borderId="0" xfId="0" applyNumberFormat="1" applyAlignment="1">
      <alignment horizontal="left"/>
    </xf>
    <xf numFmtId="0" fontId="1" fillId="0" borderId="0" xfId="0" applyFont="1"/>
    <xf numFmtId="180" fontId="0" fillId="0" borderId="0" xfId="0" applyNumberFormat="1"/>
    <xf numFmtId="180" fontId="0" fillId="0" borderId="0" xfId="0" applyNumberFormat="1"/>
    <xf numFmtId="180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/>
    <xf numFmtId="180" fontId="0" fillId="0" borderId="1" xfId="0" applyNumberFormat="1" applyBorder="1"/>
    <xf numFmtId="169" fontId="12" fillId="0" borderId="0" xfId="0" applyNumberFormat="1" applyFont="1" applyAlignment="1"/>
    <xf numFmtId="0" fontId="1" fillId="0" borderId="0" xfId="0" applyFont="1" applyAlignment="1">
      <alignment horizontal="right"/>
    </xf>
    <xf numFmtId="9" fontId="1" fillId="0" borderId="0" xfId="0" applyNumberFormat="1" applyFont="1"/>
    <xf numFmtId="1" fontId="1" fillId="0" borderId="0" xfId="0" applyNumberFormat="1" applyFont="1"/>
    <xf numFmtId="9" fontId="1" fillId="0" borderId="0" xfId="0" applyNumberFormat="1" applyFont="1" applyAlignment="1">
      <alignment horizontal="right"/>
    </xf>
    <xf numFmtId="182" fontId="1" fillId="0" borderId="0" xfId="0" applyNumberFormat="1" applyFont="1"/>
    <xf numFmtId="1" fontId="1" fillId="0" borderId="0" xfId="0" applyNumberFormat="1" applyFont="1"/>
    <xf numFmtId="9" fontId="1" fillId="0" borderId="0" xfId="0" applyNumberFormat="1" applyFont="1"/>
    <xf numFmtId="0" fontId="1" fillId="0" borderId="0" xfId="0" applyFont="1" applyAlignment="1"/>
    <xf numFmtId="208" fontId="7" fillId="0" borderId="0" xfId="0" applyNumberFormat="1" applyFont="1"/>
    <xf numFmtId="209" fontId="2" fillId="0" borderId="0" xfId="0" applyNumberFormat="1" applyFont="1"/>
    <xf numFmtId="209" fontId="1" fillId="0" borderId="0" xfId="0" applyNumberFormat="1" applyFont="1"/>
    <xf numFmtId="0" fontId="0" fillId="2" borderId="0" xfId="0" applyFill="1" applyAlignment="1">
      <alignment horizontal="right"/>
    </xf>
    <xf numFmtId="165" fontId="0" fillId="0" borderId="0" xfId="0" applyNumberFormat="1"/>
    <xf numFmtId="210" fontId="0" fillId="0" borderId="0" xfId="0" applyNumberFormat="1" applyAlignment="1">
      <alignment horizontal="right"/>
    </xf>
    <xf numFmtId="0" fontId="14" fillId="0" borderId="0" xfId="0" applyFont="1"/>
    <xf numFmtId="170" fontId="0" fillId="0" borderId="0" xfId="0" applyNumberFormat="1" applyAlignment="1">
      <alignment horizontal="right"/>
    </xf>
    <xf numFmtId="211" fontId="0" fillId="0" borderId="0" xfId="0" applyNumberFormat="1" applyAlignment="1">
      <alignment horizontal="right"/>
    </xf>
    <xf numFmtId="211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0" fontId="15" fillId="0" borderId="0" xfId="0" applyFont="1"/>
    <xf numFmtId="165" fontId="15" fillId="0" borderId="0" xfId="0" applyNumberFormat="1" applyFont="1"/>
    <xf numFmtId="165" fontId="0" fillId="0" borderId="0" xfId="0" applyNumberFormat="1"/>
    <xf numFmtId="212" fontId="0" fillId="2" borderId="0" xfId="0" applyNumberFormat="1" applyFill="1" applyAlignment="1">
      <alignment horizontal="left"/>
    </xf>
    <xf numFmtId="186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80" fontId="1" fillId="0" borderId="0" xfId="0" applyNumberFormat="1" applyFont="1"/>
    <xf numFmtId="167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76" fontId="1" fillId="0" borderId="0" xfId="0" applyNumberFormat="1" applyFont="1"/>
    <xf numFmtId="177" fontId="1" fillId="0" borderId="0" xfId="0" applyNumberFormat="1" applyFont="1"/>
    <xf numFmtId="168" fontId="1" fillId="0" borderId="0" xfId="0" applyNumberFormat="1" applyFont="1" applyAlignment="1">
      <alignment horizontal="right"/>
    </xf>
    <xf numFmtId="170" fontId="1" fillId="0" borderId="0" xfId="0" applyNumberFormat="1" applyFont="1"/>
    <xf numFmtId="0" fontId="16" fillId="0" borderId="0" xfId="0" applyFont="1" applyAlignment="1">
      <alignment vertical="center"/>
    </xf>
    <xf numFmtId="194" fontId="16" fillId="0" borderId="0" xfId="0" applyNumberFormat="1" applyFont="1" applyAlignment="1">
      <alignment vertical="center"/>
    </xf>
    <xf numFmtId="193" fontId="16" fillId="0" borderId="0" xfId="0" applyNumberFormat="1" applyFont="1" applyAlignment="1">
      <alignment vertical="center"/>
    </xf>
    <xf numFmtId="195" fontId="16" fillId="0" borderId="0" xfId="0" applyNumberFormat="1" applyFont="1" applyAlignment="1">
      <alignment vertical="center"/>
    </xf>
    <xf numFmtId="0" fontId="16" fillId="0" borderId="0" xfId="0" applyFont="1"/>
    <xf numFmtId="0" fontId="0" fillId="0" borderId="2" xfId="0" applyBorder="1"/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/>
    <xf numFmtId="0" fontId="17" fillId="3" borderId="2" xfId="0" applyFont="1" applyFill="1" applyBorder="1"/>
    <xf numFmtId="9" fontId="17" fillId="0" borderId="0" xfId="0" applyNumberFormat="1" applyFont="1"/>
    <xf numFmtId="0" fontId="18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3" borderId="2" xfId="0" applyFont="1" applyFill="1" applyBorder="1" applyAlignment="1">
      <alignment horizontal="right"/>
    </xf>
    <xf numFmtId="0" fontId="17" fillId="3" borderId="2" xfId="0" applyFont="1" applyFill="1" applyBorder="1" applyAlignment="1"/>
    <xf numFmtId="0" fontId="17" fillId="0" borderId="0" xfId="0" applyFont="1" applyAlignment="1">
      <alignment vertical="top" wrapText="1"/>
    </xf>
    <xf numFmtId="0" fontId="0" fillId="0" borderId="0" xfId="0" applyAlignment="1"/>
    <xf numFmtId="181" fontId="1" fillId="0" borderId="0" xfId="0" applyNumberFormat="1" applyFont="1"/>
    <xf numFmtId="174" fontId="2" fillId="0" borderId="0" xfId="0" applyNumberFormat="1" applyFont="1"/>
    <xf numFmtId="189" fontId="2" fillId="0" borderId="0" xfId="0" applyNumberFormat="1" applyFont="1"/>
    <xf numFmtId="213" fontId="2" fillId="0" borderId="0" xfId="0" applyNumberFormat="1" applyFont="1"/>
    <xf numFmtId="214" fontId="1" fillId="0" borderId="0" xfId="0" applyNumberFormat="1" applyFont="1"/>
    <xf numFmtId="215" fontId="1" fillId="0" borderId="0" xfId="0" applyNumberFormat="1" applyFont="1"/>
    <xf numFmtId="216" fontId="0" fillId="0" borderId="0" xfId="0" applyNumberFormat="1" applyAlignment="1">
      <alignment horizontal="left"/>
    </xf>
    <xf numFmtId="217" fontId="0" fillId="0" borderId="0" xfId="0" applyNumberFormat="1" applyAlignment="1">
      <alignment horizontal="left"/>
    </xf>
    <xf numFmtId="0" fontId="1" fillId="0" borderId="0" xfId="0" applyNumberFormat="1" applyFont="1"/>
    <xf numFmtId="9" fontId="0" fillId="0" borderId="0" xfId="0" applyNumberFormat="1"/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190" fontId="0" fillId="0" borderId="0" xfId="0" applyNumberFormat="1"/>
    <xf numFmtId="191" fontId="0" fillId="0" borderId="0" xfId="0" applyNumberFormat="1"/>
    <xf numFmtId="164" fontId="0" fillId="0" borderId="0" xfId="0" applyNumberFormat="1"/>
    <xf numFmtId="184" fontId="0" fillId="0" borderId="0" xfId="0" applyNumberFormat="1"/>
    <xf numFmtId="218" fontId="3" fillId="0" borderId="0" xfId="0" applyNumberFormat="1" applyFont="1" applyAlignment="1">
      <alignment horizontal="left"/>
    </xf>
    <xf numFmtId="180" fontId="0" fillId="0" borderId="0" xfId="0" applyNumberFormat="1"/>
    <xf numFmtId="176" fontId="4" fillId="0" borderId="0" xfId="0" applyNumberFormat="1" applyFont="1"/>
    <xf numFmtId="171" fontId="0" fillId="0" borderId="0" xfId="0" applyNumberFormat="1" applyAlignment="1">
      <alignment horizontal="left"/>
    </xf>
    <xf numFmtId="219" fontId="0" fillId="0" borderId="0" xfId="0" applyNumberFormat="1" applyAlignment="1">
      <alignment horizontal="left"/>
    </xf>
    <xf numFmtId="220" fontId="0" fillId="0" borderId="0" xfId="0" applyNumberFormat="1" applyAlignment="1">
      <alignment horizontal="left"/>
    </xf>
    <xf numFmtId="164" fontId="0" fillId="2" borderId="0" xfId="0" applyNumberFormat="1" applyFill="1"/>
    <xf numFmtId="221" fontId="0" fillId="2" borderId="0" xfId="0" applyNumberFormat="1" applyFill="1"/>
    <xf numFmtId="222" fontId="0" fillId="2" borderId="0" xfId="0" applyNumberFormat="1" applyFill="1" applyAlignment="1">
      <alignment horizontal="right"/>
    </xf>
    <xf numFmtId="223" fontId="1" fillId="0" borderId="0" xfId="0" applyNumberFormat="1" applyFont="1"/>
    <xf numFmtId="213" fontId="2" fillId="0" borderId="0" xfId="0" applyNumberFormat="1" applyFont="1"/>
    <xf numFmtId="164" fontId="0" fillId="0" borderId="0" xfId="0" applyNumberFormat="1" applyAlignment="1">
      <alignment horizontal="center"/>
    </xf>
    <xf numFmtId="207" fontId="0" fillId="0" borderId="0" xfId="0" applyNumberFormat="1"/>
    <xf numFmtId="207" fontId="0" fillId="0" borderId="0" xfId="0" applyNumberFormat="1" applyAlignment="1">
      <alignment horizontal="left"/>
    </xf>
    <xf numFmtId="224" fontId="0" fillId="0" borderId="0" xfId="0" applyNumberFormat="1" applyAlignment="1">
      <alignment horizontal="right"/>
    </xf>
    <xf numFmtId="225" fontId="0" fillId="0" borderId="0" xfId="0" applyNumberFormat="1" applyAlignment="1">
      <alignment horizontal="right"/>
    </xf>
    <xf numFmtId="9" fontId="0" fillId="0" borderId="0" xfId="0" applyNumberFormat="1"/>
    <xf numFmtId="226" fontId="0" fillId="0" borderId="0" xfId="0" applyNumberFormat="1"/>
    <xf numFmtId="227" fontId="0" fillId="2" borderId="0" xfId="0" applyNumberFormat="1" applyFill="1"/>
    <xf numFmtId="228" fontId="10" fillId="0" borderId="0" xfId="0" applyNumberFormat="1" applyFont="1"/>
    <xf numFmtId="0" fontId="19" fillId="0" borderId="0" xfId="0" applyFont="1"/>
    <xf numFmtId="2" fontId="0" fillId="0" borderId="0" xfId="0" applyNumberFormat="1"/>
    <xf numFmtId="9" fontId="0" fillId="0" borderId="0" xfId="0" applyNumberFormat="1"/>
    <xf numFmtId="0" fontId="0" fillId="0" borderId="0" xfId="0" applyAlignment="1">
      <alignment horizontal="left"/>
    </xf>
    <xf numFmtId="229" fontId="0" fillId="2" borderId="0" xfId="0" applyNumberFormat="1" applyFill="1"/>
    <xf numFmtId="9" fontId="0" fillId="0" borderId="0" xfId="0" applyNumberFormat="1" applyAlignment="1">
      <alignment horizontal="right"/>
    </xf>
    <xf numFmtId="230" fontId="0" fillId="2" borderId="0" xfId="0" applyNumberFormat="1" applyFill="1"/>
    <xf numFmtId="231" fontId="0" fillId="2" borderId="0" xfId="0" applyNumberFormat="1" applyFill="1"/>
    <xf numFmtId="184" fontId="0" fillId="2" borderId="0" xfId="0" applyNumberFormat="1" applyFill="1"/>
    <xf numFmtId="232" fontId="1" fillId="0" borderId="0" xfId="0" applyNumberFormat="1" applyFont="1"/>
    <xf numFmtId="0" fontId="20" fillId="0" borderId="0" xfId="0" applyFont="1" applyAlignment="1">
      <alignment horizontal="center"/>
    </xf>
    <xf numFmtId="223" fontId="20" fillId="0" borderId="0" xfId="0" applyNumberFormat="1" applyFont="1" applyAlignment="1">
      <alignment horizontal="center"/>
    </xf>
    <xf numFmtId="213" fontId="21" fillId="0" borderId="0" xfId="0" applyNumberFormat="1" applyFont="1" applyAlignment="1">
      <alignment horizontal="center"/>
    </xf>
    <xf numFmtId="176" fontId="20" fillId="0" borderId="0" xfId="0" applyNumberFormat="1" applyFont="1" applyAlignment="1">
      <alignment horizontal="center"/>
    </xf>
    <xf numFmtId="177" fontId="20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center"/>
    </xf>
    <xf numFmtId="170" fontId="20" fillId="0" borderId="0" xfId="0" applyNumberFormat="1" applyFont="1" applyAlignment="1">
      <alignment horizontal="center"/>
    </xf>
    <xf numFmtId="187" fontId="2" fillId="0" borderId="0" xfId="0" applyNumberFormat="1" applyFont="1"/>
    <xf numFmtId="233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234" fontId="0" fillId="0" borderId="0" xfId="0" applyNumberFormat="1" applyAlignment="1">
      <alignment horizontal="left"/>
    </xf>
    <xf numFmtId="211" fontId="0" fillId="2" borderId="0" xfId="0" applyNumberFormat="1" applyFill="1"/>
    <xf numFmtId="205" fontId="0" fillId="0" borderId="0" xfId="0" applyNumberFormat="1"/>
    <xf numFmtId="170" fontId="0" fillId="0" borderId="0" xfId="0" applyNumberFormat="1"/>
    <xf numFmtId="170" fontId="0" fillId="0" borderId="0" xfId="0" applyNumberFormat="1"/>
    <xf numFmtId="0" fontId="22" fillId="0" borderId="0" xfId="0" applyFont="1" applyAlignment="1">
      <alignment horizontal="right"/>
    </xf>
    <xf numFmtId="0" fontId="23" fillId="0" borderId="0" xfId="0" applyFont="1"/>
    <xf numFmtId="2" fontId="0" fillId="0" borderId="0" xfId="0" applyNumberFormat="1"/>
    <xf numFmtId="0" fontId="0" fillId="0" borderId="0" xfId="0" applyAlignment="1">
      <alignment horizontal="left"/>
    </xf>
    <xf numFmtId="235" fontId="0" fillId="0" borderId="0" xfId="0" applyNumberFormat="1" applyAlignment="1">
      <alignment horizontal="left"/>
    </xf>
    <xf numFmtId="236" fontId="2" fillId="0" borderId="0" xfId="0" applyNumberFormat="1" applyFont="1"/>
    <xf numFmtId="237" fontId="0" fillId="2" borderId="0" xfId="0" applyNumberFormat="1" applyFill="1"/>
    <xf numFmtId="238" fontId="0" fillId="0" borderId="0" xfId="0" applyNumberFormat="1" applyAlignment="1">
      <alignment horizontal="left"/>
    </xf>
    <xf numFmtId="176" fontId="0" fillId="0" borderId="0" xfId="0" applyNumberFormat="1" applyAlignment="1">
      <alignment horizontal="right"/>
    </xf>
    <xf numFmtId="176" fontId="2" fillId="0" borderId="0" xfId="0" applyNumberFormat="1" applyFont="1"/>
    <xf numFmtId="0" fontId="2" fillId="0" borderId="0" xfId="0" applyNumberFormat="1" applyFont="1"/>
    <xf numFmtId="239" fontId="0" fillId="0" borderId="0" xfId="0" applyNumberFormat="1"/>
    <xf numFmtId="0" fontId="0" fillId="0" borderId="0" xfId="0" applyAlignment="1">
      <alignment horizontal="left"/>
    </xf>
    <xf numFmtId="240" fontId="0" fillId="2" borderId="0" xfId="0" applyNumberFormat="1" applyFill="1" applyAlignment="1">
      <alignment horizontal="left"/>
    </xf>
    <xf numFmtId="241" fontId="0" fillId="2" borderId="0" xfId="0" applyNumberFormat="1" applyFill="1" applyAlignment="1">
      <alignment horizontal="left"/>
    </xf>
    <xf numFmtId="173" fontId="1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242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24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219" fontId="0" fillId="2" borderId="0" xfId="0" applyNumberFormat="1" applyFill="1" applyAlignment="1">
      <alignment horizontal="left"/>
    </xf>
    <xf numFmtId="244" fontId="0" fillId="0" borderId="0" xfId="0" applyNumberFormat="1"/>
    <xf numFmtId="0" fontId="0" fillId="0" borderId="0" xfId="0" applyAlignment="1">
      <alignment horizontal="left"/>
    </xf>
    <xf numFmtId="246" fontId="0" fillId="0" borderId="0" xfId="0" applyNumberFormat="1"/>
  </cellXfs>
  <cellStyles count="1">
    <cellStyle name="Normal" xfId="0" builtinId="0"/>
  </cellStyles>
  <dxfs count="8"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7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AF49"/>
  <sheetViews>
    <sheetView tabSelected="1" topLeftCell="A3" workbookViewId="0">
      <selection activeCell="C6" sqref="C6"/>
    </sheetView>
  </sheetViews>
  <sheetFormatPr baseColWidth="10" defaultRowHeight="13"/>
  <cols>
    <col min="2" max="2" width="12.7109375" customWidth="1"/>
    <col min="3" max="3" width="12.7109375" style="1" customWidth="1"/>
    <col min="7" max="7" width="10.7109375" style="140"/>
  </cols>
  <sheetData>
    <row r="1" spans="2:18">
      <c r="G1" s="149"/>
    </row>
    <row r="2" spans="2:18">
      <c r="G2" s="149"/>
    </row>
    <row r="4" spans="2:18">
      <c r="C4" s="113" t="s">
        <v>291</v>
      </c>
    </row>
    <row r="6" spans="2:18">
      <c r="B6" s="94"/>
      <c r="C6" s="139" t="s">
        <v>1124</v>
      </c>
      <c r="F6">
        <f xml:space="preserve"> IF(C6=P6,0,IF(C6=Q6,10,10+5))</f>
        <v>0</v>
      </c>
      <c r="G6" s="149">
        <f xml:space="preserve"> IF(C6=P6,0,IF(C6=Q6,0.1,0.15))</f>
        <v>0</v>
      </c>
      <c r="P6" t="s">
        <v>1144</v>
      </c>
      <c r="Q6" t="s">
        <v>463</v>
      </c>
      <c r="R6" t="s">
        <v>1136</v>
      </c>
    </row>
    <row r="8" spans="2:18">
      <c r="G8" s="149"/>
    </row>
    <row r="10" spans="2:18">
      <c r="C10" s="113" t="s">
        <v>75</v>
      </c>
    </row>
    <row r="11" spans="2:18">
      <c r="C11" s="113"/>
    </row>
    <row r="12" spans="2:18">
      <c r="B12" s="94" t="s">
        <v>1042</v>
      </c>
      <c r="C12" s="139">
        <v>0</v>
      </c>
      <c r="F12">
        <f>C12*6</f>
        <v>0</v>
      </c>
    </row>
    <row r="14" spans="2:18">
      <c r="B14" s="94" t="s">
        <v>1043</v>
      </c>
      <c r="C14" s="145">
        <v>50</v>
      </c>
      <c r="F14">
        <f>C14</f>
        <v>50</v>
      </c>
    </row>
    <row r="16" spans="2:18">
      <c r="B16" s="94" t="s">
        <v>795</v>
      </c>
    </row>
    <row r="17" spans="2:32">
      <c r="B17" s="16" t="s">
        <v>693</v>
      </c>
      <c r="C17" s="139">
        <f xml:space="preserve"> 1*( B17&lt;&gt;Tables!$A$513)</f>
        <v>0</v>
      </c>
      <c r="F17">
        <f xml:space="preserve"> C17 * ( R17 + 10*(R17&gt;=10) )</f>
        <v>0</v>
      </c>
      <c r="P17" t="str">
        <f xml:space="preserve"> VLOOKUP( $B17, Tables!$A$513:$D$540, 1, 0 )</f>
        <v/>
      </c>
      <c r="Q17">
        <f xml:space="preserve"> VLOOKUP( $B17, Tables!$A$513:$D$540, 2, 0 )</f>
        <v>0</v>
      </c>
      <c r="R17">
        <f xml:space="preserve"> VLOOKUP( $B17, Tables!$A$513:$D$540, 3, 0 )</f>
        <v>0</v>
      </c>
      <c r="S17">
        <f xml:space="preserve"> VLOOKUP( $B17, Tables!$A$513:$D$540, 4, 0 )</f>
        <v>0</v>
      </c>
    </row>
    <row r="18" spans="2:32">
      <c r="B18" s="16" t="s">
        <v>693</v>
      </c>
      <c r="C18" s="139">
        <f xml:space="preserve"> 1*( B18&lt;&gt;Tables!$A$513)</f>
        <v>0</v>
      </c>
      <c r="F18">
        <f t="shared" ref="F18:F20" si="0">C18*R18</f>
        <v>0</v>
      </c>
      <c r="P18" t="str">
        <f xml:space="preserve"> VLOOKUP( $B18, Tables!$A$513:$D$540, 1, 0 )</f>
        <v/>
      </c>
      <c r="Q18">
        <f xml:space="preserve"> VLOOKUP( $B18, Tables!$A$513:$D$540, 2, 0 )</f>
        <v>0</v>
      </c>
      <c r="R18">
        <f xml:space="preserve"> VLOOKUP( $B18, Tables!$A$513:$D$540, 3, 0 )</f>
        <v>0</v>
      </c>
      <c r="S18">
        <f xml:space="preserve"> VLOOKUP( $B18, Tables!$A$513:$D$540, 4, 0 )</f>
        <v>0</v>
      </c>
    </row>
    <row r="19" spans="2:32">
      <c r="B19" s="16" t="s">
        <v>693</v>
      </c>
      <c r="C19" s="139">
        <f xml:space="preserve"> 1*( B19&lt;&gt;Tables!$A$513)</f>
        <v>0</v>
      </c>
      <c r="F19">
        <f t="shared" si="0"/>
        <v>0</v>
      </c>
      <c r="P19" t="str">
        <f xml:space="preserve"> VLOOKUP( $B19, Tables!$A$513:$D$540, 1, 0 )</f>
        <v/>
      </c>
      <c r="Q19">
        <f xml:space="preserve"> VLOOKUP( $B19, Tables!$A$513:$D$540, 2, 0 )</f>
        <v>0</v>
      </c>
      <c r="R19">
        <f xml:space="preserve"> VLOOKUP( $B19, Tables!$A$513:$D$540, 3, 0 )</f>
        <v>0</v>
      </c>
      <c r="S19">
        <f xml:space="preserve"> VLOOKUP( $B19, Tables!$A$513:$D$540, 4, 0 )</f>
        <v>0</v>
      </c>
    </row>
    <row r="20" spans="2:32">
      <c r="B20" s="16" t="s">
        <v>693</v>
      </c>
      <c r="C20" s="139">
        <f xml:space="preserve"> 1*( B20&lt;&gt;Tables!$A$513)</f>
        <v>0</v>
      </c>
      <c r="F20">
        <f t="shared" si="0"/>
        <v>0</v>
      </c>
    </row>
    <row r="22" spans="2:32">
      <c r="G22" s="149"/>
    </row>
    <row r="24" spans="2:32">
      <c r="C24" s="113" t="s">
        <v>87</v>
      </c>
    </row>
    <row r="25" spans="2:32">
      <c r="C25" s="128"/>
    </row>
    <row r="26" spans="2:32">
      <c r="B26" s="94" t="s">
        <v>374</v>
      </c>
      <c r="C26" s="146">
        <v>12</v>
      </c>
      <c r="G26" s="140">
        <f xml:space="preserve"> (15-C26)*3%</f>
        <v>0.09</v>
      </c>
    </row>
    <row r="27" spans="2:32">
      <c r="B27" s="94"/>
      <c r="C27" s="128"/>
    </row>
    <row r="28" spans="2:32">
      <c r="B28" s="94" t="s">
        <v>375</v>
      </c>
      <c r="C28" s="146" t="s">
        <v>657</v>
      </c>
      <c r="P28" t="s">
        <v>964</v>
      </c>
      <c r="Q28" t="s">
        <v>285</v>
      </c>
      <c r="R28" t="s">
        <v>1083</v>
      </c>
      <c r="T28" t="str">
        <f xml:space="preserve"> IF( C28=P28, IF(C32&gt;2,Tables!B118,Tables!B119), IF( C28=Q28, Tables!B121, Tables!B123 ) )</f>
        <v>Unstreamlined</v>
      </c>
    </row>
    <row r="29" spans="2:32">
      <c r="B29" s="94"/>
      <c r="C29" s="128"/>
    </row>
    <row r="30" spans="2:32">
      <c r="B30" s="94" t="s">
        <v>796</v>
      </c>
      <c r="C30" s="128"/>
      <c r="W30" s="1" t="s">
        <v>491</v>
      </c>
      <c r="X30" s="1" t="s">
        <v>1117</v>
      </c>
    </row>
    <row r="31" spans="2:32">
      <c r="B31" s="94" t="s">
        <v>614</v>
      </c>
      <c r="C31" s="146">
        <v>2</v>
      </c>
      <c r="E31" t="str">
        <f xml:space="preserve"> IF( P31&lt;0,  CONCATENATE( R31 &amp; " drive"), "" )</f>
        <v/>
      </c>
      <c r="G31" s="140">
        <f xml:space="preserve"> C31 * ( 10%*X31 + 2.5%/W31 )</f>
        <v>0.25</v>
      </c>
      <c r="P31" s="98">
        <f>MIN( 9*(C31&gt;2), TL-AD31)</f>
        <v>0</v>
      </c>
      <c r="Q31" t="s">
        <v>378</v>
      </c>
      <c r="R31" s="149" t="str">
        <f>VLOOKUP( $P31, Tables!$A$184:$H$193,  2 )</f>
        <v>Standard</v>
      </c>
      <c r="S31" s="149" t="str">
        <f>VLOOKUP( $P31, Tables!$A$184:$H$193,  3 )</f>
        <v>Std</v>
      </c>
      <c r="T31" s="90">
        <f>VLOOKUP( $P31, Tables!$A$184:$H$193, 4 )</f>
        <v>0</v>
      </c>
      <c r="U31" s="149">
        <f>VLOOKUP( $P31, Tables!$A$184:$H$193,  5 )</f>
        <v>1</v>
      </c>
      <c r="V31" s="149">
        <f>VLOOKUP( $P31, Tables!$A$184:$H$193, 6 )</f>
        <v>1</v>
      </c>
      <c r="W31" s="149">
        <f>VLOOKUP( $P31, Tables!$A$184:$H$193, 7 )</f>
        <v>1</v>
      </c>
      <c r="X31" s="149">
        <f>VLOOKUP( $P31, Tables!$A$184:$H$193, 8 )</f>
        <v>1</v>
      </c>
      <c r="Y31" s="18"/>
      <c r="Z31" t="s">
        <v>279</v>
      </c>
      <c r="AA31">
        <f xml:space="preserve"> VLOOKUP( TL+3, Tables!$A$220:$O$238, 1+AF31 )</f>
        <v>6</v>
      </c>
      <c r="AC31" s="1" t="s">
        <v>488</v>
      </c>
      <c r="AD31">
        <f xml:space="preserve"> VLOOKUP( C31, Tables!$A$242:$O$251, 1+AF31 )</f>
        <v>11</v>
      </c>
      <c r="AF31">
        <v>1</v>
      </c>
    </row>
    <row r="32" spans="2:32">
      <c r="B32" s="94" t="s">
        <v>615</v>
      </c>
      <c r="C32" s="146">
        <v>2</v>
      </c>
      <c r="E32" t="str">
        <f t="shared" ref="E32" si="1" xml:space="preserve"> IF( P32&lt;0,  CONCATENATE( R32 &amp; " drive"), "" )</f>
        <v/>
      </c>
      <c r="G32" s="140">
        <f>C32*1%/W32</f>
        <v>0.02</v>
      </c>
      <c r="P32" s="98">
        <f t="shared" ref="P32" si="2">MIN( 9*(C32&gt;2), TL-AD32)</f>
        <v>0</v>
      </c>
      <c r="Q32" t="s">
        <v>378</v>
      </c>
      <c r="R32" s="149" t="str">
        <f>VLOOKUP( $P32, Tables!$A$184:$H$193,  2 )</f>
        <v>Standard</v>
      </c>
      <c r="S32" s="149" t="str">
        <f>VLOOKUP( $P32, Tables!$A$184:$H$193,  3 )</f>
        <v>Std</v>
      </c>
      <c r="T32" s="90">
        <f>VLOOKUP( $P32, Tables!$A$184:$H$193, 4 )</f>
        <v>0</v>
      </c>
      <c r="U32" s="149">
        <f>VLOOKUP( $P32, Tables!$A$184:$H$193,  5 )</f>
        <v>1</v>
      </c>
      <c r="V32" s="149">
        <f>VLOOKUP( $P32, Tables!$A$184:$H$193, 6 )</f>
        <v>1</v>
      </c>
      <c r="W32" s="149">
        <f>VLOOKUP( $P32, Tables!$A$184:$H$193, 7 )</f>
        <v>1</v>
      </c>
      <c r="X32" s="149">
        <f>VLOOKUP( $P32, Tables!$A$184:$H$193, 8 )</f>
        <v>1</v>
      </c>
      <c r="Y32" s="18"/>
      <c r="Z32" t="s">
        <v>279</v>
      </c>
      <c r="AA32">
        <f xml:space="preserve"> VLOOKUP( TL+3, Tables!$A$220:$O$238, 1+AF32 )</f>
        <v>9</v>
      </c>
      <c r="AC32" s="1" t="s">
        <v>488</v>
      </c>
      <c r="AD32">
        <f xml:space="preserve"> VLOOKUP( C32, Tables!$A$242:$O$251, 1+AF32 )</f>
        <v>9</v>
      </c>
      <c r="AF32">
        <v>6</v>
      </c>
    </row>
    <row r="33" spans="2:32">
      <c r="C33" s="128"/>
      <c r="E33" t="str">
        <f xml:space="preserve"> IF( P33&lt;0,  CONCATENATE( R33 &amp; " power plant"), "" )</f>
        <v/>
      </c>
      <c r="G33" s="140">
        <f xml:space="preserve"> MAX(C31,C32 ) * ( 1%*X33 + 1.5%/W33 )</f>
        <v>0.05</v>
      </c>
      <c r="P33" s="98">
        <f>MIN( 9*(MAX(C31:C32)&gt;2), TL-AD33)</f>
        <v>0</v>
      </c>
      <c r="Q33" t="s">
        <v>378</v>
      </c>
      <c r="R33" s="149" t="str">
        <f>VLOOKUP( $P33, Tables!$A$184:$H$193,  2 )</f>
        <v>Standard</v>
      </c>
      <c r="S33" s="149" t="str">
        <f>VLOOKUP( $P33, Tables!$A$184:$H$193,  3 )</f>
        <v>Std</v>
      </c>
      <c r="T33" s="90">
        <f>VLOOKUP( $P33, Tables!$A$184:$H$193, 4 )</f>
        <v>0</v>
      </c>
      <c r="U33" s="149">
        <f>VLOOKUP( $P33, Tables!$A$184:$H$193,  5 )</f>
        <v>1</v>
      </c>
      <c r="V33" s="149">
        <f>VLOOKUP( $P33, Tables!$A$184:$H$193, 6 )</f>
        <v>1</v>
      </c>
      <c r="W33" s="149">
        <f>VLOOKUP( $P33, Tables!$A$184:$H$193, 7 )</f>
        <v>1</v>
      </c>
      <c r="X33" s="149">
        <f>VLOOKUP( $P33, Tables!$A$184:$H$193, 8 )</f>
        <v>1</v>
      </c>
      <c r="Y33" s="18"/>
      <c r="Z33" t="s">
        <v>279</v>
      </c>
      <c r="AA33">
        <f xml:space="preserve"> VLOOKUP( TL+3, Tables!$A$220:$O$238, 1+AF33 )</f>
        <v>8</v>
      </c>
      <c r="AC33" s="1" t="s">
        <v>488</v>
      </c>
      <c r="AD33">
        <f xml:space="preserve"> VLOOKUP( MAX(C31,C32), Tables!$A$242:$O$251, 1+AF33 )</f>
        <v>9</v>
      </c>
      <c r="AF33">
        <v>11</v>
      </c>
    </row>
    <row r="34" spans="2:32">
      <c r="C34" s="128"/>
    </row>
    <row r="35" spans="2:32">
      <c r="C35" s="128"/>
      <c r="G35" s="140">
        <v>0.05</v>
      </c>
    </row>
    <row r="36" spans="2:32">
      <c r="C36" s="113" t="s">
        <v>960</v>
      </c>
    </row>
    <row r="38" spans="2:32">
      <c r="C38" s="113" t="s">
        <v>212</v>
      </c>
      <c r="D38" s="113" t="s">
        <v>1093</v>
      </c>
    </row>
    <row r="39" spans="2:32">
      <c r="B39" s="94" t="s">
        <v>430</v>
      </c>
      <c r="C39" s="144">
        <f xml:space="preserve"> ROUNDUP( MAX(20,F39) / MAX( 0.001, 1-G39 ) / 100,0) * 100</f>
        <v>100</v>
      </c>
      <c r="D39" s="141">
        <f xml:space="preserve"> Ship!L2</f>
        <v>33.68</v>
      </c>
      <c r="F39">
        <f>SUM( F3:F37 )</f>
        <v>50</v>
      </c>
      <c r="G39" s="140">
        <f xml:space="preserve"> SUM( G3:G37 )</f>
        <v>0.45999999999999996</v>
      </c>
    </row>
    <row r="40" spans="2:32">
      <c r="B40" s="94"/>
    </row>
    <row r="41" spans="2:32">
      <c r="B41" s="94" t="s">
        <v>1010</v>
      </c>
      <c r="C41" s="144">
        <f xml:space="preserve"> ROUNDDOWN( Cargo, 0 )</f>
        <v>31</v>
      </c>
    </row>
    <row r="45" spans="2:32" s="147" customFormat="1" ht="16">
      <c r="B45" s="147" t="s">
        <v>691</v>
      </c>
      <c r="G45" s="148"/>
    </row>
    <row r="46" spans="2:32" s="147" customFormat="1" ht="16">
      <c r="B46" s="147" t="s">
        <v>728</v>
      </c>
      <c r="G46" s="148"/>
    </row>
    <row r="49" spans="3:3">
      <c r="C49" s="176"/>
    </row>
  </sheetData>
  <sheetCalcPr fullCalcOnLoad="1"/>
  <phoneticPr fontId="13" type="noConversion"/>
  <dataValidations count="3">
    <dataValidation type="list" allowBlank="1" showInputMessage="1" showErrorMessage="1" sqref="C28">
      <formula1>$P$28:$R$28</formula1>
    </dataValidation>
    <dataValidation type="list" allowBlank="1" showInputMessage="1" showErrorMessage="1" sqref="B17:B20">
      <formula1>StandardCraft</formula1>
    </dataValidation>
    <dataValidation type="list" allowBlank="1" showInputMessage="1" showErrorMessage="1" sqref="C6">
      <formula1>$P$6:$R$6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F120"/>
  <sheetViews>
    <sheetView workbookViewId="0">
      <selection activeCell="B5" sqref="B5"/>
    </sheetView>
  </sheetViews>
  <sheetFormatPr baseColWidth="10" defaultRowHeight="18"/>
  <cols>
    <col min="1" max="1" width="10.7109375" style="167"/>
    <col min="2" max="2" width="100.7109375" style="166" customWidth="1"/>
    <col min="3" max="6" width="10.7109375" style="167"/>
    <col min="7" max="7" width="90.7109375" style="168" customWidth="1"/>
    <col min="8" max="11" width="10.7109375" style="167"/>
    <col min="12" max="12" width="12.140625" style="167" bestFit="1" customWidth="1"/>
    <col min="13" max="14" width="27" style="167" customWidth="1"/>
    <col min="15" max="16" width="10.7109375" style="167"/>
    <col min="17" max="17" width="10.7109375" style="167" customWidth="1"/>
    <col min="18" max="21" width="10.7109375" style="167"/>
    <col min="22" max="22" width="12.140625" style="167" bestFit="1" customWidth="1"/>
    <col min="23" max="25" width="10.7109375" style="167"/>
    <col min="26" max="28" width="10.7109375" style="167" customWidth="1"/>
    <col min="29" max="16384" width="10.7109375" style="167"/>
  </cols>
  <sheetData>
    <row r="1" spans="1:24" ht="18" customHeight="1">
      <c r="Q1" s="167" t="s">
        <v>669</v>
      </c>
      <c r="S1"/>
      <c r="T1"/>
      <c r="U1"/>
      <c r="V1"/>
    </row>
    <row r="2" spans="1:24" ht="18" customHeight="1">
      <c r="S2"/>
      <c r="T2"/>
      <c r="U2"/>
      <c r="V2"/>
    </row>
    <row r="3" spans="1:24" ht="18" customHeight="1">
      <c r="B3" s="171" t="s">
        <v>896</v>
      </c>
      <c r="S3"/>
      <c r="T3"/>
      <c r="U3"/>
      <c r="V3"/>
    </row>
    <row r="4" spans="1:24" ht="18" customHeight="1">
      <c r="S4"/>
      <c r="T4"/>
      <c r="U4"/>
      <c r="V4"/>
    </row>
    <row r="5" spans="1:24" ht="300" customHeight="1">
      <c r="B5" s="175" t="str">
        <f xml:space="preserve"> CONCATENATE( G6 &amp; G7 &amp; newline &amp; G8 &amp; G9 &amp; newline &amp; G10 &amp; newline &amp; G11 &amp; G12 &amp; newline &amp; G13 &amp; IF(G13&lt;&gt;"",newline,"") &amp; G14 &amp; IF(G14&lt;&gt;"",newline,"") &amp; G15 &amp; IF(G15&lt;&gt;"",newline,"") &amp; G16 &amp;  G17 &amp; G18 )</f>
        <v xml:space="preserve">Using a 100 Dton partially streamlined hull, it has a J Drive A, a M Drive A, and a P Plant A giving performance of jump-2 and 2 g acceleration. There is fuel tankage of 22 Dton, enough for 4 weeks and 1 jump-2. 
The ship has 3 control consoles, 3 operating consoles, and a Gen m/1/bis computer. 
There are three sensors: a Mod AR Surf Commu-10 +2 A+7 PA(Elec), a Mod AR Surf Radar-11 +2 A+7 PA(Elec), and a Mod AR Surf Scope-11 +2 A-- P(Phot).
There are three staterooms for the crew with a Comfort of 4. 
Cargo capacity is 31 Dton. The ship requires a crew of three: a pilot, a navigator, and an engineer. The ship costs MCr 33,68. </v>
      </c>
      <c r="S5"/>
      <c r="T5"/>
      <c r="U5"/>
      <c r="V5"/>
    </row>
    <row r="6" spans="1:24" ht="18" customHeight="1">
      <c r="G6" s="168" t="str">
        <f xml:space="preserve"> CONCATENATE( "Using a ", L6, " Dton " &amp; M6 &amp; " hull, it has ", K26, " giving performance of jump-", M7, " and ", M8, " g acceleration. " )</f>
        <v xml:space="preserve">Using a 100 Dton partially streamlined hull, it has a J Drive A, a M Drive A, and a P Plant A giving performance of jump-2 and 2 g acceleration. </v>
      </c>
      <c r="L6" s="167">
        <f xml:space="preserve"> Hull</f>
        <v>100</v>
      </c>
      <c r="M6" s="170" t="str">
        <f xml:space="preserve"> LOWER( Ship!D5 )</f>
        <v>partially streamlined</v>
      </c>
      <c r="S6"/>
      <c r="T6"/>
      <c r="U6"/>
      <c r="V6"/>
    </row>
    <row r="7" spans="1:24" ht="18" customHeight="1">
      <c r="A7" s="167" t="s">
        <v>668</v>
      </c>
      <c r="G7" s="168" t="str">
        <f xml:space="preserve"> CONCATENATE( "There is fuel tankage of ", L10, " Dton, enough for ", N10, " weeks ", "and ", M10, " jump-", M7, ". " )</f>
        <v xml:space="preserve">There is fuel tankage of 22 Dton, enough for 4 weeks and 1 jump-2. </v>
      </c>
      <c r="L7" s="167" t="str">
        <f>Ship!C30</f>
        <v>J Drive A</v>
      </c>
      <c r="M7" s="167">
        <f>JumpN</f>
        <v>2</v>
      </c>
    </row>
    <row r="8" spans="1:24" ht="18" customHeight="1">
      <c r="B8" s="171" t="s">
        <v>343</v>
      </c>
      <c r="G8" s="168" t="str">
        <f xml:space="preserve"> CONCATENATE( "The ship has ",T11, ", " &amp;IF(W11&lt;&gt;"",CONCATENATE( W11&amp;", "),"") &amp; "and " &amp; Q11 &amp; IF(P12&lt;&gt;"no",CONCATENATE(" and " &amp; Q12),"") &amp; ". ",   )</f>
        <v xml:space="preserve">The ship has 3 control consoles, 3 operating consoles, and a Gen m/1/bis computer. </v>
      </c>
      <c r="L8" s="167" t="str">
        <f>Ship!C31</f>
        <v>M Drive A</v>
      </c>
      <c r="M8" s="167">
        <f>ManN</f>
        <v>2</v>
      </c>
    </row>
    <row r="9" spans="1:24" ht="18" customHeight="1">
      <c r="B9" s="171"/>
      <c r="L9" s="167" t="str">
        <f>Ship!C33</f>
        <v>P Plant A</v>
      </c>
    </row>
    <row r="10" spans="1:24" ht="18" customHeight="1">
      <c r="B10" s="166" t="str">
        <f>Ship!Z144</f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
    Gunner                                0           1                  [/code]</v>
      </c>
      <c r="G10" s="168" t="str">
        <f xml:space="preserve"> IF( L32&gt;0, CONCATENATE( "There " &amp; IF(L32=1,"is","are") &amp; " " &amp; L35 &amp; ": " &amp; K39  ), "" )</f>
        <v>There are three sensors: a Mod AR Surf Commu-10 +2 A+7 PA(Elec), a Mod AR Surf Radar-11 +2 A+7 PA(Elec), and a Mod AR Surf Scope-11 +2 A-- P(Phot).</v>
      </c>
      <c r="L10" s="167">
        <f xml:space="preserve"> Ship!K36 + Ship!K38</f>
        <v>22</v>
      </c>
      <c r="M10" s="167">
        <f xml:space="preserve"> IFERROR( Ship!I36 / M7, 0 )</f>
        <v>1</v>
      </c>
      <c r="N10" s="167">
        <f xml:space="preserve"> Ship!I38</f>
        <v>4</v>
      </c>
    </row>
    <row r="11" spans="1:24" ht="18" customHeight="1">
      <c r="G11" s="168" t="str">
        <f xml:space="preserve"> IF( L44&gt;0, CONCATENATE( "There " &amp; IF(L44=1,"is","are") &amp; " " &amp; K51 &amp; " for the crew with a Comfort of " &amp; K43 &amp; ". "  ), "" )</f>
        <v xml:space="preserve">There are three staterooms for the crew with a Comfort of 4. </v>
      </c>
      <c r="L11" s="167" t="str">
        <f xml:space="preserve"> IF( Ship!C45&gt;0, "Bridge", "" )</f>
        <v>Bridge</v>
      </c>
      <c r="M11" s="167">
        <f>Ship!J48</f>
        <v>1</v>
      </c>
      <c r="N11" s="167" t="str">
        <f xml:space="preserve"> CONCATENATE( Ship!B48 )</f>
        <v>Gen</v>
      </c>
      <c r="O11" s="167" t="str">
        <f>Ship!C48</f>
        <v>m/1/bis</v>
      </c>
      <c r="P11" s="172" t="str">
        <f>IF(M11=0,"no",IF(M11=1,"a",M11))</f>
        <v>a</v>
      </c>
      <c r="Q11" s="167" t="str">
        <f xml:space="preserve"> IF( M11&gt;0, CONCATENATE( P11 &amp; " " &amp; IF(N11&lt;&gt;"Std",CONCATENATE(N11&amp;" "),"") &amp; O11 &amp; " computer"&amp; IF(M11&lt;&gt;1,"s","") ), "" )</f>
        <v>a Gen m/1/bis computer</v>
      </c>
      <c r="R11" s="167">
        <f xml:space="preserve"> Ship!$BZ$50</f>
        <v>3</v>
      </c>
      <c r="S11" s="172">
        <f>IF(R11=0,"no",IF(R11=1,"a",R11))</f>
        <v>3</v>
      </c>
      <c r="T11" s="167" t="str">
        <f xml:space="preserve"> IF( R11&gt;0, CONCATENATE( S11 &amp; " control console" &amp; IF(R11&lt;&gt;1,"s","") ), "" )</f>
        <v>3 control consoles</v>
      </c>
      <c r="U11" s="167">
        <f xml:space="preserve"> Ship!$CA$50</f>
        <v>3</v>
      </c>
      <c r="V11" s="172">
        <f>IF(U11=0,"no",IF(U11=1,"an",U11))</f>
        <v>3</v>
      </c>
      <c r="W11" s="167" t="str">
        <f xml:space="preserve"> IF( U11&gt;0, CONCATENATE( V11 &amp; " operating console" &amp; IF(U11&lt;&gt;1,"s","") ), "" )</f>
        <v>3 operating consoles</v>
      </c>
    </row>
    <row r="12" spans="1:24" ht="18" customHeight="1">
      <c r="G12" s="168" t="str">
        <f xml:space="preserve"> IF( L56&gt;0, CONCATENATE( "For " &amp; IF(L56=1,"a passenger","passengers") &amp; " there " &amp; IF(L56=1,"is","are") &amp; " " &amp; K63 &amp; " with a Demand of " &amp; K55 &amp; ". "  ), "" )</f>
        <v/>
      </c>
      <c r="M12" s="167">
        <f>Ship!J49</f>
        <v>0</v>
      </c>
      <c r="O12" s="167" t="str">
        <f>Ship!C49</f>
        <v/>
      </c>
      <c r="P12" s="172" t="str">
        <f>IF(M12=0,"no",IF(M12=1,"a",M12))</f>
        <v>no</v>
      </c>
      <c r="Q12" s="167" t="str">
        <f xml:space="preserve"> CONCATENATE( P12 &amp; " " &amp; IF(N12&lt;&gt;"Std",CONCATENATE(N12&amp;" "),"") &amp; IF(LEN(O12)&gt;0,CONCATENATE(O12 &amp; " "),"") &amp; "computer"&amp; IF(M12&lt;&gt;1,"s","") )</f>
        <v>no  computers</v>
      </c>
      <c r="S12" s="172"/>
      <c r="V12" s="172"/>
    </row>
    <row r="13" spans="1:24" ht="18" customHeight="1">
      <c r="G13" s="168" t="str">
        <f xml:space="preserve"> IF( L81&gt;0, CONCATENATE( "There " &amp; IF(L81=1,"is","are") &amp; " " &amp; L84 &amp; ": " &amp; K88  ), "" )</f>
        <v/>
      </c>
      <c r="P13" s="172"/>
      <c r="S13" s="172"/>
      <c r="V13" s="172"/>
    </row>
    <row r="14" spans="1:24" ht="18" customHeight="1">
      <c r="G14" s="168" t="str">
        <f xml:space="preserve"> IF( L94&gt;0, CONCATENATE( "There " &amp; IF(L94=1,"is","are") &amp; " " &amp; L97 &amp; ": " &amp; K101  ), "" )</f>
        <v/>
      </c>
      <c r="P14" s="172"/>
      <c r="S14" s="172"/>
      <c r="V14" s="172"/>
    </row>
    <row r="15" spans="1:24" ht="18" customHeight="1">
      <c r="B15" s="147" t="s">
        <v>691</v>
      </c>
      <c r="G15" s="168" t="str">
        <f xml:space="preserve"> IF( L110&gt;0, CONCATENATE( "There " &amp; IF(L110=1,"is","are") &amp; " " &amp; L113 &amp; ": " &amp; K120  ), "" )</f>
        <v/>
      </c>
      <c r="L15" s="167">
        <v>1</v>
      </c>
      <c r="M15" s="167">
        <f>L15+1</f>
        <v>2</v>
      </c>
      <c r="N15" s="167">
        <f t="shared" ref="N15" si="0">M15+1</f>
        <v>3</v>
      </c>
      <c r="O15" s="167">
        <f t="shared" ref="O15" si="1">N15+1</f>
        <v>4</v>
      </c>
      <c r="P15" s="167">
        <f t="shared" ref="P15" si="2">O15+1</f>
        <v>5</v>
      </c>
      <c r="Q15" s="167">
        <f t="shared" ref="Q15" si="3">P15+1</f>
        <v>6</v>
      </c>
      <c r="R15" s="167">
        <f t="shared" ref="R15" si="4">Q15+1</f>
        <v>7</v>
      </c>
      <c r="S15" s="167">
        <f t="shared" ref="S15" si="5">R15+1</f>
        <v>8</v>
      </c>
      <c r="T15" s="167">
        <f t="shared" ref="T15" si="6">S15+1</f>
        <v>9</v>
      </c>
      <c r="U15" s="167">
        <f t="shared" ref="U15" si="7">T15+1</f>
        <v>10</v>
      </c>
      <c r="V15" s="167">
        <f t="shared" ref="V15" si="8">U15+1</f>
        <v>11</v>
      </c>
      <c r="W15" s="167">
        <f t="shared" ref="W15" si="9">V15+1</f>
        <v>12</v>
      </c>
      <c r="X15" s="167">
        <f t="shared" ref="X15" si="10">W15+1</f>
        <v>13</v>
      </c>
    </row>
    <row r="16" spans="1:24" ht="18" customHeight="1">
      <c r="B16" s="147" t="s">
        <v>728</v>
      </c>
      <c r="G16" s="168" t="str">
        <f xml:space="preserve"> CONCATENATE( "Cargo capacity is " &amp; L64 &amp; " Dton. " )</f>
        <v xml:space="preserve">Cargo capacity is 31 Dton. </v>
      </c>
      <c r="K16" s="167" t="s">
        <v>90</v>
      </c>
      <c r="L16" s="169" t="s">
        <v>800</v>
      </c>
      <c r="M16" s="169" t="str">
        <f xml:space="preserve"> IFERROR( IF(  INDEX( Ship!$A$29:$Q$35, M15, 11 )&gt;0,  T( INDEX( Ship!$A$29:$Q$35, M15, 3 ) ),  ""  ), "None" )</f>
        <v>J Drive A</v>
      </c>
      <c r="N16" s="169" t="str">
        <f xml:space="preserve"> IFERROR( IF(  INDEX( Ship!$A$29:$Q$35, N15, 11 )&gt;0,  T( INDEX( Ship!$A$29:$Q$35, N15, 3 ) ),  ""  ), "None" )</f>
        <v>M Drive A</v>
      </c>
      <c r="O16" s="169" t="str">
        <f xml:space="preserve"> IFERROR( IF(  INDEX( Ship!$A$29:$Q$35, O15, 11 )&gt;0,  T( INDEX( Ship!$A$29:$Q$35, O15, 3 ) ),  ""  ), "None" )</f>
        <v/>
      </c>
      <c r="P16" s="169" t="str">
        <f xml:space="preserve"> IFERROR( IF(  INDEX( Ship!$A$29:$Q$35, P15, 11 )&gt;0,  T( INDEX( Ship!$A$29:$Q$35, P15, 3 ) ),  ""  ), "None" )</f>
        <v>P Plant A</v>
      </c>
      <c r="Q16" s="169" t="str">
        <f xml:space="preserve"> IFERROR( IF(  INDEX( Ship!$A$29:$Q$35, Q15, 11 )&gt;0,  T( INDEX( Ship!$A$29:$Q$35, Q15, 3 ) ),  ""  ), "None" )</f>
        <v/>
      </c>
      <c r="R16" s="169" t="str">
        <f xml:space="preserve"> IFERROR( IF(  INDEX( Ship!$A$29:$Q$35, R15, 11 )&gt;0,  T( INDEX( Ship!$A$29:$Q$35, R15, 3 ) ),  ""  ), "None" )</f>
        <v/>
      </c>
      <c r="S16" s="169" t="str">
        <f xml:space="preserve"> IFERROR( IF(  INDEX( Ship!$A$29:$Q$35, S15, 11 )&gt;0,  T( INDEX( Ship!$A$29:$Q$35, S15, 3 ) ),  ""  ), "None" )</f>
        <v>None</v>
      </c>
      <c r="T16" s="169" t="str">
        <f xml:space="preserve"> IFERROR( IF(  INDEX( Ship!$A$29:$Q$35, T15, 11 )&gt;0,  T( INDEX( Ship!$A$29:$Q$35, T15, 3 ) ),  ""  ), "None" )</f>
        <v>None</v>
      </c>
      <c r="U16" s="169" t="str">
        <f xml:space="preserve"> IFERROR( IF(  INDEX( Ship!$A$29:$Q$35, U15, 11 )&gt;0,  T( INDEX( Ship!$A$29:$Q$35, U15, 3 ) ),  ""  ), "None" )</f>
        <v>None</v>
      </c>
      <c r="V16" s="169" t="str">
        <f xml:space="preserve"> IFERROR( IF(  INDEX( Ship!$A$29:$Q$35, V15, 11 )&gt;0,  T( INDEX( Ship!$A$29:$Q$35, V15, 3 ) ),  ""  ), "None" )</f>
        <v>None</v>
      </c>
      <c r="W16" s="169" t="str">
        <f xml:space="preserve"> IFERROR( IF(  INDEX( Ship!$A$29:$Q$35, W15, 11 )&gt;0,  T( INDEX( Ship!$A$29:$Q$35, W15, 3 ) ),  ""  ), "None" )</f>
        <v>None</v>
      </c>
      <c r="X16" s="169"/>
    </row>
    <row r="17" spans="7:32" ht="18" customHeight="1">
      <c r="G17" s="168" t="str">
        <f xml:space="preserve"> CONCATENATE( "The ship requires a crew of " &amp; L69 &amp; ": " &amp; K75 )</f>
        <v xml:space="preserve">The ship requires a crew of three: a pilot, a navigator, and an engineer. </v>
      </c>
      <c r="L17" s="173" t="str">
        <f xml:space="preserve"> IF( IFERROR( SEARCH( LOWER( LEFT( L16, 1 ) ), vowels ), 0 )&gt;0, "an", "a" )</f>
        <v>a</v>
      </c>
      <c r="M17" s="173" t="str">
        <f t="shared" ref="M17:W17" si="11" xml:space="preserve"> IF( IFERROR( SEARCH( LOWER( LEFT( M16, 1 ) ), vowels ), 0 )&gt;0, "an", "a" )</f>
        <v>a</v>
      </c>
      <c r="N17" s="173" t="str">
        <f t="shared" si="11"/>
        <v>a</v>
      </c>
      <c r="O17" s="173" t="str">
        <f t="shared" si="11"/>
        <v>an</v>
      </c>
      <c r="P17" s="173" t="str">
        <f t="shared" si="11"/>
        <v>a</v>
      </c>
      <c r="Q17" s="173" t="str">
        <f t="shared" si="11"/>
        <v>an</v>
      </c>
      <c r="R17" s="173" t="str">
        <f t="shared" si="11"/>
        <v>an</v>
      </c>
      <c r="S17" s="173" t="str">
        <f t="shared" si="11"/>
        <v>a</v>
      </c>
      <c r="T17" s="173" t="str">
        <f t="shared" si="11"/>
        <v>a</v>
      </c>
      <c r="U17" s="173" t="str">
        <f t="shared" si="11"/>
        <v>a</v>
      </c>
      <c r="V17" s="173" t="str">
        <f t="shared" si="11"/>
        <v>a</v>
      </c>
      <c r="W17" s="173" t="str">
        <f t="shared" si="11"/>
        <v>a</v>
      </c>
      <c r="X17" s="169"/>
    </row>
    <row r="18" spans="7:32" ht="18" customHeight="1">
      <c r="G18" s="168" t="str">
        <f xml:space="preserve"> CONCATENATE( "The ship costs MCr " &amp; M64 &amp; ". " )</f>
        <v xml:space="preserve">The ship costs MCr 33,68. </v>
      </c>
      <c r="K18" s="167" t="e">
        <f xml:space="preserve"> Ship!#REF!</f>
        <v>#REF!</v>
      </c>
      <c r="L18" s="173" t="s">
        <v>720</v>
      </c>
      <c r="M18" s="173" t="s">
        <v>720</v>
      </c>
      <c r="N18" s="173" t="s">
        <v>720</v>
      </c>
      <c r="O18" s="173" t="s">
        <v>720</v>
      </c>
      <c r="P18" s="173" t="s">
        <v>720</v>
      </c>
      <c r="Q18" s="173" t="s">
        <v>720</v>
      </c>
      <c r="R18" s="173" t="s">
        <v>720</v>
      </c>
      <c r="S18" s="173" t="s">
        <v>720</v>
      </c>
      <c r="T18" s="173" t="s">
        <v>1074</v>
      </c>
      <c r="U18" s="173" t="s">
        <v>1074</v>
      </c>
      <c r="V18" s="173"/>
      <c r="W18" s="173" t="s">
        <v>1074</v>
      </c>
      <c r="X18" s="169"/>
    </row>
    <row r="19" spans="7:32" ht="18" customHeight="1">
      <c r="L19" s="169">
        <f xml:space="preserve"> SUM( M19:W19 )</f>
        <v>3</v>
      </c>
      <c r="M19" s="169">
        <f xml:space="preserve"> IFERROR( INDEX( Ship!$A$29:$Q$35, M15, 10 ), 0 )</f>
        <v>1</v>
      </c>
      <c r="N19" s="169">
        <f xml:space="preserve"> IFERROR( INDEX( Ship!$A$29:$Q$35, N15, 10 ), 0 )</f>
        <v>1</v>
      </c>
      <c r="O19" s="169">
        <f xml:space="preserve"> IFERROR( INDEX( Ship!$A$29:$Q$35, O15, 10 ), 0 )</f>
        <v>0</v>
      </c>
      <c r="P19" s="169">
        <f xml:space="preserve"> IFERROR( INDEX( Ship!$A$29:$Q$35, P15, 10 ), 0 )</f>
        <v>1</v>
      </c>
      <c r="Q19" s="169">
        <f xml:space="preserve"> IFERROR( INDEX( Ship!$A$29:$Q$35, Q15, 10 ), 0 )</f>
        <v>0</v>
      </c>
      <c r="R19" s="169">
        <f xml:space="preserve"> IFERROR( INDEX( Ship!$A$29:$Q$35, R15, 10 ), 0 )</f>
        <v>0</v>
      </c>
      <c r="S19" s="169">
        <f xml:space="preserve"> IFERROR( INDEX( Ship!$A$29:$Q$35, S15, 10 ), 0 )</f>
        <v>0</v>
      </c>
      <c r="T19" s="169">
        <f xml:space="preserve"> IFERROR( INDEX( Ship!$A$29:$Q$35, T15, 10 ), 0 )</f>
        <v>0</v>
      </c>
      <c r="U19" s="169">
        <f xml:space="preserve"> IFERROR( INDEX( Ship!$A$29:$Q$35, U15, 10 ), 0 )</f>
        <v>0</v>
      </c>
      <c r="V19" s="169">
        <f xml:space="preserve"> IFERROR( INDEX( Ship!$A$29:$Q$35, V15, 10 ), 0 )</f>
        <v>0</v>
      </c>
      <c r="W19" s="169">
        <f xml:space="preserve"> IFERROR( INDEX( Ship!$A$29:$Q$35, W15, 10 ), 0 )</f>
        <v>0</v>
      </c>
      <c r="X19" s="169"/>
    </row>
    <row r="20" spans="7:32" ht="18" customHeight="1">
      <c r="L20" s="173" t="str">
        <f xml:space="preserve"> IF( L19=0, "no", IF( L19=1, L17, IF( L19&lt;=12, VLOOKUP( L19, Tables!$B$2:$D$36, 3 ), L19 ) ) )</f>
        <v>three</v>
      </c>
      <c r="M20" s="173" t="str">
        <f xml:space="preserve"> IF( M19=0, "no", IF( M19=1, M17, IF( M19&lt;=12, VLOOKUP( M19, Tables!$B$2:$D$36, 3 ), M19 ) ) )</f>
        <v>a</v>
      </c>
      <c r="N20" s="173" t="str">
        <f xml:space="preserve"> IF( N19=0, "no", IF( N19=1, N17, IF( N19&lt;=12, VLOOKUP( N19, Tables!$B$2:$D$36, 3 ), N19 ) ) )</f>
        <v>a</v>
      </c>
      <c r="O20" s="173" t="str">
        <f xml:space="preserve"> IF( O19=0, "no", IF( O19=1, O17, IF( O19&lt;=12, VLOOKUP( O19, Tables!$B$2:$D$36, 3 ), O19 ) ) )</f>
        <v>no</v>
      </c>
      <c r="P20" s="173" t="str">
        <f xml:space="preserve"> IF( P19=0, "no", IF( P19=1, P17, IF( P19&lt;=12, VLOOKUP( P19, Tables!$B$2:$D$36, 3 ), P19 ) ) )</f>
        <v>a</v>
      </c>
      <c r="Q20" s="173" t="str">
        <f xml:space="preserve"> IF( Q19=0, "no", IF( Q19=1, Q17, IF( Q19&lt;=12, VLOOKUP( Q19, Tables!$B$2:$D$36, 3 ), Q19 ) ) )</f>
        <v>no</v>
      </c>
      <c r="R20" s="173" t="str">
        <f xml:space="preserve"> IF( R19=0, "no", IF( R19=1, R17, IF( R19&lt;=12, VLOOKUP( R19, Tables!$B$2:$D$36, 3 ), R19 ) ) )</f>
        <v>no</v>
      </c>
      <c r="S20" s="173" t="str">
        <f xml:space="preserve"> IF( S19=0, "no", IF( S19=1, S17, IF( S19&lt;=12, VLOOKUP( S19, Tables!$B$2:$D$36, 3 ), S19 ) ) )</f>
        <v>no</v>
      </c>
      <c r="T20" s="173" t="str">
        <f xml:space="preserve"> IF( T19=0, "no", IF( T19=1, T17, IF( T19&lt;=12, VLOOKUP( T19, Tables!$B$2:$D$36, 3 ), T19 ) ) )</f>
        <v>no</v>
      </c>
      <c r="U20" s="173" t="str">
        <f xml:space="preserve"> IF( U19=0, "no", IF( U19=1, U17, IF( U19&lt;=12, VLOOKUP( U19, Tables!$B$2:$D$36, 3 ), U19 ) ) )</f>
        <v>no</v>
      </c>
      <c r="V20" s="173" t="str">
        <f xml:space="preserve"> IF( V19=0, "no", IF( V19=1, V17, IF( V19&lt;=12, VLOOKUP( V19, Tables!$B$2:$D$36, 3 ), V19 ) ) )</f>
        <v>no</v>
      </c>
      <c r="W20" s="173" t="str">
        <f xml:space="preserve"> IF( W19=0, "no", IF( W19=1, W17, IF( W19&lt;=12, VLOOKUP( W19, Tables!$B$2:$D$36, 3 ), W19 ) ) )</f>
        <v>no</v>
      </c>
      <c r="X20" s="169"/>
    </row>
    <row r="21" spans="7:32" ht="18" customHeight="1">
      <c r="L21" s="173" t="str">
        <f xml:space="preserve"> IF( L19&lt;&gt;1, T(L18), "" )</f>
        <v>s</v>
      </c>
      <c r="M21" s="173" t="str">
        <f t="shared" ref="M21:W21" si="12" xml:space="preserve"> IF( M19&lt;&gt;1, T(M18), "" )</f>
        <v/>
      </c>
      <c r="N21" s="173" t="str">
        <f t="shared" si="12"/>
        <v/>
      </c>
      <c r="O21" s="173" t="str">
        <f t="shared" si="12"/>
        <v>s</v>
      </c>
      <c r="P21" s="173" t="str">
        <f t="shared" si="12"/>
        <v/>
      </c>
      <c r="Q21" s="173" t="str">
        <f t="shared" si="12"/>
        <v>s</v>
      </c>
      <c r="R21" s="173" t="str">
        <f t="shared" si="12"/>
        <v>s</v>
      </c>
      <c r="S21" s="173" t="str">
        <f t="shared" si="12"/>
        <v>s</v>
      </c>
      <c r="T21" s="173" t="str">
        <f t="shared" si="12"/>
        <v>s</v>
      </c>
      <c r="U21" s="173" t="str">
        <f t="shared" si="12"/>
        <v>s</v>
      </c>
      <c r="V21" s="173" t="str">
        <f t="shared" si="12"/>
        <v/>
      </c>
      <c r="W21" s="173" t="str">
        <f t="shared" si="12"/>
        <v>s</v>
      </c>
      <c r="X21" s="169"/>
    </row>
    <row r="22" spans="7:32" ht="18" customHeight="1">
      <c r="L22" s="169" t="str">
        <f t="shared" ref="L22:W22" si="13" xml:space="preserve"> CONCATENATE( L20 &amp; " " &amp; L16 &amp; L21 )</f>
        <v>three drives</v>
      </c>
      <c r="M22" s="169" t="str">
        <f t="shared" si="13"/>
        <v>a J Drive A</v>
      </c>
      <c r="N22" s="169" t="str">
        <f t="shared" si="13"/>
        <v>a M Drive A</v>
      </c>
      <c r="O22" s="169" t="str">
        <f t="shared" si="13"/>
        <v>no s</v>
      </c>
      <c r="P22" s="169" t="str">
        <f t="shared" si="13"/>
        <v>a P Plant A</v>
      </c>
      <c r="Q22" s="169" t="str">
        <f t="shared" si="13"/>
        <v>no s</v>
      </c>
      <c r="R22" s="169" t="str">
        <f t="shared" si="13"/>
        <v>no s</v>
      </c>
      <c r="S22" s="169" t="str">
        <f t="shared" si="13"/>
        <v>no Nones</v>
      </c>
      <c r="T22" s="169" t="str">
        <f t="shared" si="13"/>
        <v>no Nones</v>
      </c>
      <c r="U22" s="169" t="str">
        <f t="shared" si="13"/>
        <v>no Nones</v>
      </c>
      <c r="V22" s="169" t="str">
        <f t="shared" si="13"/>
        <v>no None</v>
      </c>
      <c r="W22" s="169" t="str">
        <f t="shared" si="13"/>
        <v>no Nones</v>
      </c>
      <c r="X22" s="169"/>
    </row>
    <row r="23" spans="7:32" ht="18" customHeight="1">
      <c r="L23" s="169"/>
      <c r="M23" s="169" t="str">
        <f xml:space="preserve"> IF( AND( SUM( M19:$W19 )&gt;0, SUM(N19:$X19)=0, SUM($L19:L19)&gt;$L19 ), "and ", "" )</f>
        <v/>
      </c>
      <c r="N23" s="169" t="str">
        <f xml:space="preserve"> IF( AND( SUM( N19:$W19 )&gt;0, SUM(O19:$X19)=0, SUM($L19:M19)&gt;$L19 ), "and ", "" )</f>
        <v/>
      </c>
      <c r="O23" s="169" t="str">
        <f xml:space="preserve"> IF( AND( SUM( O19:$W19 )&gt;0, SUM(P19:$X19)=0, SUM($L19:N19)&gt;$L19 ), "and ", "" )</f>
        <v/>
      </c>
      <c r="P23" s="169" t="str">
        <f xml:space="preserve"> IF( AND( SUM( P19:$W19 )&gt;0, SUM(Q19:$X19)=0, SUM($L19:O19)&gt;$L19 ), "and ", "" )</f>
        <v xml:space="preserve">and </v>
      </c>
      <c r="Q23" s="169" t="str">
        <f xml:space="preserve"> IF( AND( SUM( Q19:$W19 )&gt;0, SUM(R19:$X19)=0, SUM($L19:P19)&gt;$L19 ), "and ", "" )</f>
        <v/>
      </c>
      <c r="R23" s="169" t="str">
        <f xml:space="preserve"> IF( AND( SUM( R19:$W19 )&gt;0, SUM(S19:$X19)=0, SUM($L19:Q19)&gt;$L19 ), "and ", "" )</f>
        <v/>
      </c>
      <c r="S23" s="169" t="str">
        <f xml:space="preserve"> IF( AND( SUM( S19:$W19 )&gt;0, SUM(T19:$X19)=0, SUM($L19:R19)&gt;$L19 ), "and ", "" )</f>
        <v/>
      </c>
      <c r="T23" s="169" t="str">
        <f xml:space="preserve"> IF( AND( SUM( T19:$W19 )&gt;0, SUM(U19:$X19)=0, SUM($L19:S19)&gt;$L19 ), "and ", "" )</f>
        <v/>
      </c>
      <c r="U23" s="169" t="str">
        <f xml:space="preserve"> IF( AND( SUM( U19:$W19 )&gt;0, SUM(V19:$X19)=0, SUM($L19:T19)&gt;$L19 ), "and ", "" )</f>
        <v/>
      </c>
      <c r="V23" s="169" t="str">
        <f xml:space="preserve"> IF( AND( SUM( V19:$W19 )&gt;0, SUM(W19:$X19)=0, SUM($L19:U19)&gt;$L19 ), "and ", "" )</f>
        <v/>
      </c>
      <c r="W23" s="169" t="str">
        <f xml:space="preserve"> IF( AND( SUM( W19:$W19 )&gt;0, SUM(X19:$X19)=0, SUM($L19:V19)&gt;$L19 ), "and ", "" )</f>
        <v/>
      </c>
      <c r="X23" s="169"/>
    </row>
    <row r="24" spans="7:32" ht="18" customHeight="1">
      <c r="L24" s="169"/>
      <c r="M24" s="169" t="str">
        <f xml:space="preserve"> IF( SUM( $M19:M19 )&gt;M19, ", ", "" )</f>
        <v/>
      </c>
      <c r="N24" s="169" t="str">
        <f xml:space="preserve"> IF( SUM( $M19:N19 )&gt;N19, ", ", "" )</f>
        <v xml:space="preserve">, </v>
      </c>
      <c r="O24" s="169" t="str">
        <f xml:space="preserve"> IF( SUM( $M19:O19 )&gt;O19, ", ", "" )</f>
        <v xml:space="preserve">, </v>
      </c>
      <c r="P24" s="169" t="str">
        <f xml:space="preserve"> IF( SUM( $M19:P19 )&gt;P19, ", ", "" )</f>
        <v xml:space="preserve">, </v>
      </c>
      <c r="Q24" s="169" t="str">
        <f xml:space="preserve"> IF( SUM( $M19:Q19 )&gt;Q19, ", ", "" )</f>
        <v xml:space="preserve">, </v>
      </c>
      <c r="R24" s="169" t="str">
        <f xml:space="preserve"> IF( SUM( $M19:R19 )&gt;R19, ", ", "" )</f>
        <v xml:space="preserve">, </v>
      </c>
      <c r="S24" s="169" t="str">
        <f xml:space="preserve"> IF( SUM( $M19:S19 )&gt;S19, ", ", "" )</f>
        <v xml:space="preserve">, </v>
      </c>
      <c r="T24" s="169" t="str">
        <f xml:space="preserve"> IF( SUM( $M19:T19 )&gt;T19, ", ", "" )</f>
        <v xml:space="preserve">, </v>
      </c>
      <c r="U24" s="169" t="str">
        <f xml:space="preserve"> IF( SUM( $M19:U19 )&gt;U19, ", ", "" )</f>
        <v xml:space="preserve">, </v>
      </c>
      <c r="V24" s="169" t="str">
        <f xml:space="preserve"> IF( SUM( $M19:V19 )&gt;V19, ", ", "" )</f>
        <v xml:space="preserve">, </v>
      </c>
      <c r="W24" s="169" t="str">
        <f xml:space="preserve"> IF( SUM( $M19:W19 )&gt;W19, ", ", "" )</f>
        <v xml:space="preserve">, </v>
      </c>
      <c r="X24" s="169"/>
    </row>
    <row r="25" spans="7:32" ht="18" customHeight="1">
      <c r="L25" s="169" t="str">
        <f xml:space="preserve"> CONCATENATE( L24 &amp; L23 &amp; L22 )</f>
        <v>three drives</v>
      </c>
      <c r="M25" s="169" t="str">
        <f xml:space="preserve"> CONCATENATE( M24 &amp; M23 &amp; M22 )</f>
        <v>a J Drive A</v>
      </c>
      <c r="N25" s="169" t="str">
        <f t="shared" ref="N25:W25" si="14" xml:space="preserve"> CONCATENATE( N24 &amp; N23 &amp; N22 )</f>
        <v>, a M Drive A</v>
      </c>
      <c r="O25" s="169" t="str">
        <f t="shared" si="14"/>
        <v>, no s</v>
      </c>
      <c r="P25" s="169" t="str">
        <f t="shared" si="14"/>
        <v>, and a P Plant A</v>
      </c>
      <c r="Q25" s="169" t="str">
        <f t="shared" si="14"/>
        <v>, no s</v>
      </c>
      <c r="R25" s="169" t="str">
        <f t="shared" si="14"/>
        <v>, no s</v>
      </c>
      <c r="S25" s="169" t="str">
        <f t="shared" si="14"/>
        <v>, no Nones</v>
      </c>
      <c r="T25" s="169" t="str">
        <f t="shared" si="14"/>
        <v>, no Nones</v>
      </c>
      <c r="U25" s="169" t="str">
        <f t="shared" si="14"/>
        <v>, no Nones</v>
      </c>
      <c r="V25" s="169" t="str">
        <f t="shared" si="14"/>
        <v>, no None</v>
      </c>
      <c r="W25" s="169" t="str">
        <f t="shared" si="14"/>
        <v>, no Nones</v>
      </c>
      <c r="X25" s="169"/>
    </row>
    <row r="26" spans="7:32" ht="18" customHeight="1">
      <c r="K26" s="167" t="str">
        <f>M26</f>
        <v>a J Drive A, a M Drive A, and a P Plant A</v>
      </c>
      <c r="L26" s="169"/>
      <c r="M26" s="169" t="str">
        <f t="shared" ref="M26" si="15" xml:space="preserve"> CONCATENATE( IF( M19&gt;0, M25, "" ) &amp; N26 )</f>
        <v>a J Drive A, a M Drive A, and a P Plant A</v>
      </c>
      <c r="N26" s="169" t="str">
        <f t="shared" ref="N26" si="16" xml:space="preserve"> CONCATENATE( IF( N19&gt;0, N25, "" ) &amp; O26 )</f>
        <v>, a M Drive A, and a P Plant A</v>
      </c>
      <c r="O26" s="169" t="str">
        <f t="shared" ref="O26" si="17" xml:space="preserve"> CONCATENATE( IF( O19&gt;0, O25, "" ) &amp; P26 )</f>
        <v>, and a P Plant A</v>
      </c>
      <c r="P26" s="169" t="str">
        <f t="shared" ref="P26" si="18" xml:space="preserve"> CONCATENATE( IF( P19&gt;0, P25, "" ) &amp; Q26 )</f>
        <v>, and a P Plant A</v>
      </c>
      <c r="Q26" s="169" t="str">
        <f t="shared" ref="Q26" si="19" xml:space="preserve"> CONCATENATE( IF( Q19&gt;0, Q25, "" ) &amp; R26 )</f>
        <v/>
      </c>
      <c r="R26" s="169" t="str">
        <f t="shared" ref="R26" si="20" xml:space="preserve"> CONCATENATE( IF( R19&gt;0, R25, "" ) &amp; S26 )</f>
        <v/>
      </c>
      <c r="S26" s="169" t="str">
        <f t="shared" ref="S26" si="21" xml:space="preserve"> CONCATENATE( IF( S19&gt;0, S25, "" ) &amp; T26 )</f>
        <v/>
      </c>
      <c r="T26" s="169" t="str">
        <f t="shared" ref="T26" si="22" xml:space="preserve"> CONCATENATE( IF( T19&gt;0, T25, "" ) &amp; U26 )</f>
        <v/>
      </c>
      <c r="U26" s="169" t="str">
        <f t="shared" ref="U26" si="23" xml:space="preserve"> CONCATENATE( IF( U19&gt;0, U25, "" ) &amp; V26 )</f>
        <v/>
      </c>
      <c r="V26" s="169" t="str">
        <f t="shared" ref="V26" si="24" xml:space="preserve"> CONCATENATE( IF( V19&gt;0, V25, "" ) &amp; W26 )</f>
        <v/>
      </c>
      <c r="W26" s="169" t="str">
        <f t="shared" ref="W26" si="25" xml:space="preserve"> CONCATENATE( IF( W19&gt;0, W25, "" ) &amp; X26 )</f>
        <v/>
      </c>
      <c r="X26" s="169" t="str">
        <f>""</f>
        <v/>
      </c>
    </row>
    <row r="27" spans="7:32" ht="18" customHeight="1">
      <c r="P27" s="172"/>
      <c r="S27" s="172"/>
      <c r="V27" s="172"/>
    </row>
    <row r="28" spans="7:32" ht="18" customHeight="1">
      <c r="L28" s="167">
        <v>1</v>
      </c>
      <c r="M28" s="167">
        <f>L28+1</f>
        <v>2</v>
      </c>
      <c r="N28" s="167">
        <f t="shared" ref="N28:AE28" si="26">M28+1</f>
        <v>3</v>
      </c>
      <c r="O28" s="167">
        <f t="shared" si="26"/>
        <v>4</v>
      </c>
      <c r="P28" s="167">
        <f t="shared" si="26"/>
        <v>5</v>
      </c>
      <c r="Q28" s="167">
        <f t="shared" si="26"/>
        <v>6</v>
      </c>
      <c r="R28" s="167">
        <f t="shared" si="26"/>
        <v>7</v>
      </c>
      <c r="S28" s="167">
        <f t="shared" si="26"/>
        <v>8</v>
      </c>
      <c r="T28" s="167">
        <f t="shared" si="26"/>
        <v>9</v>
      </c>
      <c r="U28" s="167">
        <f t="shared" si="26"/>
        <v>10</v>
      </c>
      <c r="V28" s="167">
        <f t="shared" si="26"/>
        <v>11</v>
      </c>
      <c r="W28" s="167">
        <f t="shared" si="26"/>
        <v>12</v>
      </c>
      <c r="X28" s="167">
        <f t="shared" si="26"/>
        <v>13</v>
      </c>
      <c r="Y28" s="167">
        <f t="shared" si="26"/>
        <v>14</v>
      </c>
      <c r="Z28" s="167">
        <f t="shared" si="26"/>
        <v>15</v>
      </c>
      <c r="AA28" s="167">
        <f t="shared" si="26"/>
        <v>16</v>
      </c>
      <c r="AB28" s="167">
        <f t="shared" si="26"/>
        <v>17</v>
      </c>
      <c r="AC28" s="167">
        <f t="shared" si="26"/>
        <v>18</v>
      </c>
      <c r="AD28" s="167">
        <f t="shared" si="26"/>
        <v>19</v>
      </c>
      <c r="AE28" s="167">
        <f t="shared" si="26"/>
        <v>20</v>
      </c>
    </row>
    <row r="29" spans="7:32" ht="18" customHeight="1">
      <c r="K29" s="167" t="s">
        <v>1041</v>
      </c>
      <c r="L29" s="169" t="s">
        <v>1028</v>
      </c>
      <c r="M29" s="169" t="str">
        <f xml:space="preserve"> IFERROR( T( INDEX( Ship!$A$51:$Q$60, M28, 16 ) ), "None" )</f>
        <v>Mod AR Surf Commu-10 +2 A+7 PA(Elec)</v>
      </c>
      <c r="N29" s="169" t="str">
        <f xml:space="preserve"> IFERROR( T( INDEX( Ship!$A$51:$Q$60, N28, 16 ) ), "None" )</f>
        <v/>
      </c>
      <c r="O29" s="169" t="str">
        <f xml:space="preserve"> IFERROR( T( INDEX( Ship!$A$51:$Q$60, O28, 16 ) ), "None" )</f>
        <v>Mod AR Surf Radar-11 +2 A+7 PA(Elec)</v>
      </c>
      <c r="P29" s="169" t="str">
        <f xml:space="preserve"> IFERROR( T( INDEX( Ship!$A$51:$Q$60, P28, 16 ) ), "None" )</f>
        <v>Mod AR Surf Scope-11 +2 A-- P(Phot)</v>
      </c>
      <c r="Q29" s="169" t="str">
        <f xml:space="preserve"> IFERROR( T( INDEX( Ship!$A$51:$Q$60, Q28, 16 ) ), "None" )</f>
        <v/>
      </c>
      <c r="R29" s="169" t="str">
        <f xml:space="preserve"> IFERROR( T( INDEX( Ship!$A$51:$Q$60, R28, 16 ) ), "None" )</f>
        <v/>
      </c>
      <c r="S29" s="169" t="str">
        <f xml:space="preserve"> IFERROR( T( INDEX( Ship!$A$51:$Q$60, S28, 16 ) ), "None" )</f>
        <v/>
      </c>
      <c r="T29" s="169" t="str">
        <f xml:space="preserve"> IFERROR( T( INDEX( Ship!$A$51:$Q$60, T28, 16 ) ), "None" )</f>
        <v/>
      </c>
      <c r="U29" s="169" t="str">
        <f xml:space="preserve"> IFERROR( T( INDEX( Ship!$A$51:$Q$60, U28, 16 ) ), "None" )</f>
        <v/>
      </c>
      <c r="V29" s="169" t="str">
        <f xml:space="preserve"> IFERROR( T( INDEX( Ship!$A$51:$Q$60, V28, 16 ) ), "None" )</f>
        <v>None</v>
      </c>
      <c r="W29" s="169" t="str">
        <f xml:space="preserve"> IFERROR( T( INDEX( Ship!$A$51:$Q$60, W28, 16 ) ), "None" )</f>
        <v>None</v>
      </c>
      <c r="X29" s="169" t="str">
        <f xml:space="preserve"> IFERROR( T( INDEX( Ship!$A$51:$Q$60, X28, 16 ) ), "None" )</f>
        <v>None</v>
      </c>
      <c r="Y29" s="169" t="str">
        <f xml:space="preserve"> IFERROR( T( INDEX( Ship!$A$51:$Q$60, Y28, 16 ) ), "None" )</f>
        <v>None</v>
      </c>
      <c r="Z29" s="169" t="str">
        <f xml:space="preserve"> IFERROR( T( INDEX( Ship!$A$51:$Q$60, Z28, 16 ) ), "None" )</f>
        <v>None</v>
      </c>
      <c r="AA29" s="169" t="str">
        <f xml:space="preserve"> IFERROR( T( INDEX( Ship!$A$51:$Q$60, AA28, 16 ) ), "None" )</f>
        <v>None</v>
      </c>
      <c r="AB29" s="169" t="str">
        <f xml:space="preserve"> IFERROR( T( INDEX( Ship!$A$51:$Q$60, AB28, 16 ) ), "None" )</f>
        <v>None</v>
      </c>
      <c r="AC29" s="169" t="str">
        <f xml:space="preserve"> IFERROR( T( INDEX( Ship!$A$51:$Q$60, AC28, 16 ) ), "None" )</f>
        <v>None</v>
      </c>
      <c r="AD29" s="169" t="str">
        <f xml:space="preserve"> IFERROR( T( INDEX( Ship!$A$51:$Q$60, AD28, 16 ) ), "None" )</f>
        <v>None</v>
      </c>
      <c r="AE29" s="169" t="str">
        <f xml:space="preserve"> IFERROR( T( INDEX( Ship!$A$51:$Q$60, AE28, 16 ) ), "None" )</f>
        <v>None</v>
      </c>
      <c r="AF29" s="169"/>
    </row>
    <row r="30" spans="7:32" ht="18" customHeight="1">
      <c r="L30" s="173" t="str">
        <f xml:space="preserve"> IF( IFERROR( SEARCH( LOWER( LEFT( L29, 1 ) ), vowels ), 0 )&gt;0, "an", "a" )</f>
        <v>a</v>
      </c>
      <c r="M30" s="173" t="str">
        <f t="shared" ref="M30" si="27" xml:space="preserve"> IF( IFERROR( SEARCH( LOWER( LEFT( M29, 1 ) ), vowels ), 0 )&gt;0, "an", "a" )</f>
        <v>a</v>
      </c>
      <c r="N30" s="173" t="str">
        <f t="shared" ref="N30" si="28" xml:space="preserve"> IF( IFERROR( SEARCH( LOWER( LEFT( N29, 1 ) ), vowels ), 0 )&gt;0, "an", "a" )</f>
        <v>an</v>
      </c>
      <c r="O30" s="173" t="str">
        <f t="shared" ref="O30" si="29" xml:space="preserve"> IF( IFERROR( SEARCH( LOWER( LEFT( O29, 1 ) ), vowels ), 0 )&gt;0, "an", "a" )</f>
        <v>a</v>
      </c>
      <c r="P30" s="173" t="str">
        <f t="shared" ref="P30" si="30" xml:space="preserve"> IF( IFERROR( SEARCH( LOWER( LEFT( P29, 1 ) ), vowels ), 0 )&gt;0, "an", "a" )</f>
        <v>a</v>
      </c>
      <c r="Q30" s="173" t="str">
        <f t="shared" ref="Q30" si="31" xml:space="preserve"> IF( IFERROR( SEARCH( LOWER( LEFT( Q29, 1 ) ), vowels ), 0 )&gt;0, "an", "a" )</f>
        <v>an</v>
      </c>
      <c r="R30" s="173" t="str">
        <f t="shared" ref="R30" si="32" xml:space="preserve"> IF( IFERROR( SEARCH( LOWER( LEFT( R29, 1 ) ), vowels ), 0 )&gt;0, "an", "a" )</f>
        <v>an</v>
      </c>
      <c r="S30" s="173" t="str">
        <f t="shared" ref="S30" si="33" xml:space="preserve"> IF( IFERROR( SEARCH( LOWER( LEFT( S29, 1 ) ), vowels ), 0 )&gt;0, "an", "a" )</f>
        <v>an</v>
      </c>
      <c r="T30" s="173" t="str">
        <f t="shared" ref="T30" si="34" xml:space="preserve"> IF( IFERROR( SEARCH( LOWER( LEFT( T29, 1 ) ), vowels ), 0 )&gt;0, "an", "a" )</f>
        <v>an</v>
      </c>
      <c r="U30" s="173" t="str">
        <f t="shared" ref="U30" si="35" xml:space="preserve"> IF( IFERROR( SEARCH( LOWER( LEFT( U29, 1 ) ), vowels ), 0 )&gt;0, "an", "a" )</f>
        <v>an</v>
      </c>
      <c r="V30" s="173" t="str">
        <f t="shared" ref="V30" si="36" xml:space="preserve"> IF( IFERROR( SEARCH( LOWER( LEFT( V29, 1 ) ), vowels ), 0 )&gt;0, "an", "a" )</f>
        <v>a</v>
      </c>
      <c r="W30" s="173" t="str">
        <f t="shared" ref="W30" si="37" xml:space="preserve"> IF( IFERROR( SEARCH( LOWER( LEFT( W29, 1 ) ), vowels ), 0 )&gt;0, "an", "a" )</f>
        <v>a</v>
      </c>
      <c r="X30" s="173" t="str">
        <f t="shared" ref="X30" si="38" xml:space="preserve"> IF( IFERROR( SEARCH( LOWER( LEFT( X29, 1 ) ), vowels ), 0 )&gt;0, "an", "a" )</f>
        <v>a</v>
      </c>
      <c r="Y30" s="173" t="str">
        <f t="shared" ref="Y30" si="39" xml:space="preserve"> IF( IFERROR( SEARCH( LOWER( LEFT( Y29, 1 ) ), vowels ), 0 )&gt;0, "an", "a" )</f>
        <v>a</v>
      </c>
      <c r="Z30" s="173" t="str">
        <f t="shared" ref="Z30" si="40" xml:space="preserve"> IF( IFERROR( SEARCH( LOWER( LEFT( Z29, 1 ) ), vowels ), 0 )&gt;0, "an", "a" )</f>
        <v>a</v>
      </c>
      <c r="AA30" s="173" t="str">
        <f t="shared" ref="AA30" si="41" xml:space="preserve"> IF( IFERROR( SEARCH( LOWER( LEFT( AA29, 1 ) ), vowels ), 0 )&gt;0, "an", "a" )</f>
        <v>a</v>
      </c>
      <c r="AB30" s="173" t="str">
        <f t="shared" ref="AB30" si="42" xml:space="preserve"> IF( IFERROR( SEARCH( LOWER( LEFT( AB29, 1 ) ), vowels ), 0 )&gt;0, "an", "a" )</f>
        <v>a</v>
      </c>
      <c r="AC30" s="173" t="str">
        <f t="shared" ref="AC30" si="43" xml:space="preserve"> IF( IFERROR( SEARCH( LOWER( LEFT( AC29, 1 ) ), vowels ), 0 )&gt;0, "an", "a" )</f>
        <v>a</v>
      </c>
      <c r="AD30" s="173" t="str">
        <f t="shared" ref="AD30" si="44" xml:space="preserve"> IF( IFERROR( SEARCH( LOWER( LEFT( AD29, 1 ) ), vowels ), 0 )&gt;0, "an", "a" )</f>
        <v>a</v>
      </c>
      <c r="AE30" s="173" t="str">
        <f t="shared" ref="AE30" si="45" xml:space="preserve"> IF( IFERROR( SEARCH( LOWER( LEFT( AE29, 1 ) ), vowels ), 0 )&gt;0, "an", "a" )</f>
        <v>a</v>
      </c>
      <c r="AF30" s="169"/>
    </row>
    <row r="31" spans="7:32" ht="18" customHeight="1">
      <c r="L31" s="173" t="s">
        <v>720</v>
      </c>
      <c r="M31" s="173" t="str">
        <f>""</f>
        <v/>
      </c>
      <c r="N31" s="173" t="str">
        <f>""</f>
        <v/>
      </c>
      <c r="O31" s="173" t="str">
        <f>""</f>
        <v/>
      </c>
      <c r="P31" s="173" t="str">
        <f>""</f>
        <v/>
      </c>
      <c r="Q31" s="173" t="str">
        <f>""</f>
        <v/>
      </c>
      <c r="R31" s="173" t="str">
        <f>""</f>
        <v/>
      </c>
      <c r="S31" s="173" t="str">
        <f>""</f>
        <v/>
      </c>
      <c r="T31" s="173" t="str">
        <f>""</f>
        <v/>
      </c>
      <c r="U31" s="173" t="str">
        <f>""</f>
        <v/>
      </c>
      <c r="V31" s="173" t="str">
        <f>""</f>
        <v/>
      </c>
      <c r="W31" s="173" t="str">
        <f>""</f>
        <v/>
      </c>
      <c r="X31" s="173" t="str">
        <f>""</f>
        <v/>
      </c>
      <c r="Y31" s="173" t="str">
        <f>""</f>
        <v/>
      </c>
      <c r="Z31" s="173" t="str">
        <f>""</f>
        <v/>
      </c>
      <c r="AA31" s="173" t="str">
        <f>""</f>
        <v/>
      </c>
      <c r="AB31" s="173" t="str">
        <f>""</f>
        <v/>
      </c>
      <c r="AC31" s="173" t="str">
        <f>""</f>
        <v/>
      </c>
      <c r="AD31" s="173" t="str">
        <f>""</f>
        <v/>
      </c>
      <c r="AE31" s="173" t="str">
        <f>""</f>
        <v/>
      </c>
      <c r="AF31" s="169"/>
    </row>
    <row r="32" spans="7:32" ht="18" customHeight="1">
      <c r="L32" s="169">
        <f xml:space="preserve"> SUM( M32:AE32 )</f>
        <v>3</v>
      </c>
      <c r="M32" s="169">
        <f xml:space="preserve"> IFERROR( INDEX( Ship!$A$51:$Q$60, M28, 10 ), 0 )</f>
        <v>1</v>
      </c>
      <c r="N32" s="169">
        <f xml:space="preserve"> IFERROR( INDEX( Ship!$A$51:$Q$60, N28, 10 ), 0 )</f>
        <v>0</v>
      </c>
      <c r="O32" s="169">
        <f xml:space="preserve"> IFERROR( INDEX( Ship!$A$51:$Q$60, O28, 10 ), 0 )</f>
        <v>1</v>
      </c>
      <c r="P32" s="169">
        <f xml:space="preserve"> IFERROR( INDEX( Ship!$A$51:$Q$60, P28, 10 ), 0 )</f>
        <v>1</v>
      </c>
      <c r="Q32" s="169">
        <f xml:space="preserve"> IFERROR( INDEX( Ship!$A$51:$Q$60, Q28, 10 ), 0 )</f>
        <v>0</v>
      </c>
      <c r="R32" s="169">
        <f xml:space="preserve"> IFERROR( INDEX( Ship!$A$51:$Q$60, R28, 10 ), 0 )</f>
        <v>0</v>
      </c>
      <c r="S32" s="169">
        <f xml:space="preserve"> IFERROR( INDEX( Ship!$A$51:$Q$60, S28, 10 ), 0 )</f>
        <v>0</v>
      </c>
      <c r="T32" s="169">
        <f xml:space="preserve"> IFERROR( INDEX( Ship!$A$51:$Q$60, T28, 10 ), 0 )</f>
        <v>0</v>
      </c>
      <c r="U32" s="169">
        <f xml:space="preserve"> IFERROR( INDEX( Ship!$A$51:$Q$60, U28, 10 ), 0 )</f>
        <v>0</v>
      </c>
      <c r="V32" s="169">
        <f xml:space="preserve"> IFERROR( INDEX( Ship!$A$51:$Q$60, V28, 10 ), 0 )</f>
        <v>0</v>
      </c>
      <c r="W32" s="169">
        <f xml:space="preserve"> IFERROR( INDEX( Ship!$A$51:$Q$60, W28, 10 ), 0 )</f>
        <v>0</v>
      </c>
      <c r="X32" s="169">
        <f xml:space="preserve"> IFERROR( INDEX( Ship!$A$51:$Q$60, X28, 10 ), 0 )</f>
        <v>0</v>
      </c>
      <c r="Y32" s="169">
        <f xml:space="preserve"> IFERROR( INDEX( Ship!$A$51:$Q$60, Y28, 10 ), 0 )</f>
        <v>0</v>
      </c>
      <c r="Z32" s="169">
        <f xml:space="preserve"> IFERROR( INDEX( Ship!$A$51:$Q$60, Z28, 10 ), 0 )</f>
        <v>0</v>
      </c>
      <c r="AA32" s="169">
        <f xml:space="preserve"> IFERROR( INDEX( Ship!$A$51:$Q$60, AA28, 10 ), 0 )</f>
        <v>0</v>
      </c>
      <c r="AB32" s="169">
        <f xml:space="preserve"> IFERROR( INDEX( Ship!$A$51:$Q$60, AB28, 10 ), 0 )</f>
        <v>0</v>
      </c>
      <c r="AC32" s="169">
        <f xml:space="preserve"> IFERROR( INDEX( Ship!$A$51:$Q$60, AC28, 10 ), 0 )</f>
        <v>0</v>
      </c>
      <c r="AD32" s="169">
        <f xml:space="preserve"> IFERROR( INDEX( Ship!$A$51:$Q$60, AD28, 10 ), 0 )</f>
        <v>0</v>
      </c>
      <c r="AE32" s="169">
        <f xml:space="preserve"> IFERROR( INDEX( Ship!$A$51:$Q$60, AE28, 10 ), 0 )</f>
        <v>0</v>
      </c>
      <c r="AF32" s="169"/>
    </row>
    <row r="33" spans="11:32">
      <c r="L33" s="173" t="str">
        <f xml:space="preserve"> IF( L32=0, "no", IF( L32=1, L30, IF( L32&lt;=12, VLOOKUP( L32, Tables!$B$2:$D$36, 3 ), L32 ) ) )</f>
        <v>three</v>
      </c>
      <c r="M33" s="173" t="str">
        <f xml:space="preserve"> IF( M32=0, "no", IF( M32=1, M30, IF( M32&lt;=12, VLOOKUP( M32, Tables!$B$2:$D$36, 3 ), M32 ) ) )</f>
        <v>a</v>
      </c>
      <c r="N33" s="173" t="str">
        <f xml:space="preserve"> IF( N32=0, "no", IF( N32=1, N30, IF( N32&lt;=12, VLOOKUP( N32, Tables!$B$2:$D$36, 3 ), N32 ) ) )</f>
        <v>no</v>
      </c>
      <c r="O33" s="173" t="str">
        <f xml:space="preserve"> IF( O32=0, "no", IF( O32=1, O30, IF( O32&lt;=12, VLOOKUP( O32, Tables!$B$2:$D$36, 3 ), O32 ) ) )</f>
        <v>a</v>
      </c>
      <c r="P33" s="173" t="str">
        <f xml:space="preserve"> IF( P32=0, "no", IF( P32=1, P30, IF( P32&lt;=12, VLOOKUP( P32, Tables!$B$2:$D$36, 3 ), P32 ) ) )</f>
        <v>a</v>
      </c>
      <c r="Q33" s="173" t="str">
        <f xml:space="preserve"> IF( Q32=0, "no", IF( Q32=1, Q30, IF( Q32&lt;=12, VLOOKUP( Q32, Tables!$B$2:$D$36, 3 ), Q32 ) ) )</f>
        <v>no</v>
      </c>
      <c r="R33" s="173" t="str">
        <f xml:space="preserve"> IF( R32=0, "no", IF( R32=1, R30, IF( R32&lt;=12, VLOOKUP( R32, Tables!$B$2:$D$36, 3 ), R32 ) ) )</f>
        <v>no</v>
      </c>
      <c r="S33" s="173" t="str">
        <f xml:space="preserve"> IF( S32=0, "no", IF( S32=1, S30, IF( S32&lt;=12, VLOOKUP( S32, Tables!$B$2:$D$36, 3 ), S32 ) ) )</f>
        <v>no</v>
      </c>
      <c r="T33" s="173" t="str">
        <f xml:space="preserve"> IF( T32=0, "no", IF( T32=1, T30, IF( T32&lt;=12, VLOOKUP( T32, Tables!$B$2:$D$36, 3 ), T32 ) ) )</f>
        <v>no</v>
      </c>
      <c r="U33" s="173" t="str">
        <f xml:space="preserve"> IF( U32=0, "no", IF( U32=1, U30, IF( U32&lt;=12, VLOOKUP( U32, Tables!$B$2:$D$36, 3 ), U32 ) ) )</f>
        <v>no</v>
      </c>
      <c r="V33" s="173" t="str">
        <f xml:space="preserve"> IF( V32=0, "no", IF( V32=1, V30, IF( V32&lt;=12, VLOOKUP( V32, Tables!$B$2:$D$36, 3 ), V32 ) ) )</f>
        <v>no</v>
      </c>
      <c r="W33" s="173" t="str">
        <f xml:space="preserve"> IF( W32=0, "no", IF( W32=1, W30, IF( W32&lt;=12, VLOOKUP( W32, Tables!$B$2:$D$36, 3 ), W32 ) ) )</f>
        <v>no</v>
      </c>
      <c r="X33" s="173" t="str">
        <f xml:space="preserve"> IF( X32=0, "no", IF( X32=1, X30, IF( X32&lt;=12, VLOOKUP( X32, Tables!$B$2:$D$36, 3 ), X32 ) ) )</f>
        <v>no</v>
      </c>
      <c r="Y33" s="173" t="str">
        <f xml:space="preserve"> IF( Y32=0, "no", IF( Y32=1, Y30, IF( Y32&lt;=12, VLOOKUP( Y32, Tables!$B$2:$D$36, 3 ), Y32 ) ) )</f>
        <v>no</v>
      </c>
      <c r="Z33" s="173" t="str">
        <f xml:space="preserve"> IF( Z32=0, "no", IF( Z32=1, Z30, IF( Z32&lt;=12, VLOOKUP( Z32, Tables!$B$2:$D$36, 3 ), Z32 ) ) )</f>
        <v>no</v>
      </c>
      <c r="AA33" s="173" t="str">
        <f xml:space="preserve"> IF( AA32=0, "no", IF( AA32=1, AA30, IF( AA32&lt;=12, VLOOKUP( AA32, Tables!$B$2:$D$36, 3 ), AA32 ) ) )</f>
        <v>no</v>
      </c>
      <c r="AB33" s="173" t="str">
        <f xml:space="preserve"> IF( AB32=0, "no", IF( AB32=1, AB30, IF( AB32&lt;=12, VLOOKUP( AB32, Tables!$B$2:$D$36, 3 ), AB32 ) ) )</f>
        <v>no</v>
      </c>
      <c r="AC33" s="173" t="str">
        <f xml:space="preserve"> IF( AC32=0, "no", IF( AC32=1, AC30, IF( AC32&lt;=12, VLOOKUP( AC32, Tables!$B$2:$D$36, 3 ), AC32 ) ) )</f>
        <v>no</v>
      </c>
      <c r="AD33" s="173" t="str">
        <f xml:space="preserve"> IF( AD32=0, "no", IF( AD32=1, AD30, IF( AD32&lt;=12, VLOOKUP( AD32, Tables!$B$2:$D$36, 3 ), AD32 ) ) )</f>
        <v>no</v>
      </c>
      <c r="AE33" s="173" t="str">
        <f xml:space="preserve"> IF( AE32=0, "no", IF( AE32=1, AE30, IF( AE32&lt;=12, VLOOKUP( AE32, Tables!$B$2:$D$36, 3 ), AE32 ) ) )</f>
        <v>no</v>
      </c>
      <c r="AF33" s="169"/>
    </row>
    <row r="34" spans="11:32">
      <c r="L34" s="173" t="str">
        <f xml:space="preserve"> IF( L32&lt;&gt;1, T(L31), "" )</f>
        <v>s</v>
      </c>
      <c r="M34" s="173" t="str">
        <f t="shared" ref="M34" si="46" xml:space="preserve"> IF( M32&lt;&gt;1, T(M31), "" )</f>
        <v/>
      </c>
      <c r="N34" s="173" t="str">
        <f t="shared" ref="N34:AE34" si="47" xml:space="preserve"> IF( N32&lt;&gt;1, T(N31), "" )</f>
        <v/>
      </c>
      <c r="O34" s="173" t="str">
        <f t="shared" si="47"/>
        <v/>
      </c>
      <c r="P34" s="173" t="str">
        <f t="shared" si="47"/>
        <v/>
      </c>
      <c r="Q34" s="173" t="str">
        <f t="shared" si="47"/>
        <v/>
      </c>
      <c r="R34" s="173" t="str">
        <f t="shared" si="47"/>
        <v/>
      </c>
      <c r="S34" s="173" t="str">
        <f t="shared" si="47"/>
        <v/>
      </c>
      <c r="T34" s="173" t="str">
        <f t="shared" si="47"/>
        <v/>
      </c>
      <c r="U34" s="173" t="str">
        <f t="shared" si="47"/>
        <v/>
      </c>
      <c r="V34" s="173" t="str">
        <f t="shared" si="47"/>
        <v/>
      </c>
      <c r="W34" s="173" t="str">
        <f t="shared" si="47"/>
        <v/>
      </c>
      <c r="X34" s="173" t="str">
        <f t="shared" si="47"/>
        <v/>
      </c>
      <c r="Y34" s="173" t="str">
        <f t="shared" si="47"/>
        <v/>
      </c>
      <c r="Z34" s="173" t="str">
        <f t="shared" si="47"/>
        <v/>
      </c>
      <c r="AA34" s="173" t="str">
        <f t="shared" si="47"/>
        <v/>
      </c>
      <c r="AB34" s="173" t="str">
        <f t="shared" si="47"/>
        <v/>
      </c>
      <c r="AC34" s="173" t="str">
        <f t="shared" si="47"/>
        <v/>
      </c>
      <c r="AD34" s="173" t="str">
        <f t="shared" si="47"/>
        <v/>
      </c>
      <c r="AE34" s="173" t="str">
        <f t="shared" si="47"/>
        <v/>
      </c>
      <c r="AF34" s="169"/>
    </row>
    <row r="35" spans="11:32">
      <c r="L35" s="169" t="str">
        <f xml:space="preserve"> CONCATENATE( L33 &amp; " " &amp; L29 &amp; L34 )</f>
        <v>three sensors</v>
      </c>
      <c r="M35" s="169" t="str">
        <f xml:space="preserve"> CONCATENATE( M33 &amp; " " &amp; M29 &amp; M34 )</f>
        <v>a Mod AR Surf Commu-10 +2 A+7 PA(Elec)</v>
      </c>
      <c r="N35" s="169" t="str">
        <f t="shared" ref="N35:AE35" si="48" xml:space="preserve"> CONCATENATE( N33 &amp; " " &amp; N29 &amp; N34 )</f>
        <v xml:space="preserve">no </v>
      </c>
      <c r="O35" s="169" t="str">
        <f t="shared" si="48"/>
        <v>a Mod AR Surf Radar-11 +2 A+7 PA(Elec)</v>
      </c>
      <c r="P35" s="169" t="str">
        <f t="shared" si="48"/>
        <v>a Mod AR Surf Scope-11 +2 A-- P(Phot)</v>
      </c>
      <c r="Q35" s="169" t="str">
        <f t="shared" si="48"/>
        <v xml:space="preserve">no </v>
      </c>
      <c r="R35" s="169" t="str">
        <f t="shared" si="48"/>
        <v xml:space="preserve">no </v>
      </c>
      <c r="S35" s="169" t="str">
        <f t="shared" si="48"/>
        <v xml:space="preserve">no </v>
      </c>
      <c r="T35" s="169" t="str">
        <f t="shared" si="48"/>
        <v xml:space="preserve">no </v>
      </c>
      <c r="U35" s="169" t="str">
        <f t="shared" si="48"/>
        <v xml:space="preserve">no </v>
      </c>
      <c r="V35" s="169" t="str">
        <f t="shared" si="48"/>
        <v>no None</v>
      </c>
      <c r="W35" s="169" t="str">
        <f t="shared" si="48"/>
        <v>no None</v>
      </c>
      <c r="X35" s="169" t="str">
        <f t="shared" si="48"/>
        <v>no None</v>
      </c>
      <c r="Y35" s="169" t="str">
        <f t="shared" si="48"/>
        <v>no None</v>
      </c>
      <c r="Z35" s="169" t="str">
        <f t="shared" si="48"/>
        <v>no None</v>
      </c>
      <c r="AA35" s="169" t="str">
        <f t="shared" si="48"/>
        <v>no None</v>
      </c>
      <c r="AB35" s="169" t="str">
        <f t="shared" si="48"/>
        <v>no None</v>
      </c>
      <c r="AC35" s="169" t="str">
        <f t="shared" si="48"/>
        <v>no None</v>
      </c>
      <c r="AD35" s="169" t="str">
        <f t="shared" si="48"/>
        <v>no None</v>
      </c>
      <c r="AE35" s="169" t="str">
        <f t="shared" si="48"/>
        <v>no None</v>
      </c>
      <c r="AF35" s="169"/>
    </row>
    <row r="36" spans="11:32">
      <c r="L36" s="169"/>
      <c r="M36" s="169" t="str">
        <f xml:space="preserve"> IF( AND( SUM( M32:$AE32 )&gt;0, SUM(N32:$AF32)=0, SUM($L32:L32)&gt;$L32 ), "and ", "" )</f>
        <v/>
      </c>
      <c r="N36" s="169" t="str">
        <f xml:space="preserve"> IF( AND( SUM( N32:$AE32 )&gt;0, SUM(O32:$AF32)=0, SUM($L32:M32)&gt;$L32 ), "and ", "" )</f>
        <v/>
      </c>
      <c r="O36" s="169" t="str">
        <f xml:space="preserve"> IF( AND( SUM( O32:$AE32 )&gt;0, SUM(P32:$AF32)=0, SUM($L32:N32)&gt;$L32 ), "and ", "" )</f>
        <v/>
      </c>
      <c r="P36" s="169" t="str">
        <f xml:space="preserve"> IF( AND( SUM( P32:$AE32 )&gt;0, SUM(Q32:$AF32)=0, SUM($L32:O32)&gt;$L32 ), "and ", "" )</f>
        <v xml:space="preserve">and </v>
      </c>
      <c r="Q36" s="169" t="str">
        <f xml:space="preserve"> IF( AND( SUM( Q32:$AE32 )&gt;0, SUM(R32:$AF32)=0, SUM($L32:P32)&gt;$L32 ), "and ", "" )</f>
        <v/>
      </c>
      <c r="R36" s="169" t="str">
        <f xml:space="preserve"> IF( AND( SUM( R32:$AE32 )&gt;0, SUM(S32:$AF32)=0, SUM($L32:Q32)&gt;$L32 ), "and ", "" )</f>
        <v/>
      </c>
      <c r="S36" s="169" t="str">
        <f xml:space="preserve"> IF( AND( SUM( S32:$AE32 )&gt;0, SUM(T32:$AF32)=0, SUM($L32:R32)&gt;$L32 ), "and ", "" )</f>
        <v/>
      </c>
      <c r="T36" s="169" t="str">
        <f xml:space="preserve"> IF( AND( SUM( T32:$AE32 )&gt;0, SUM(U32:$AF32)=0, SUM($L32:S32)&gt;$L32 ), "and ", "" )</f>
        <v/>
      </c>
      <c r="U36" s="169" t="str">
        <f xml:space="preserve"> IF( AND( SUM( U32:$AE32 )&gt;0, SUM(V32:$AF32)=0, SUM($L32:T32)&gt;$L32 ), "and ", "" )</f>
        <v/>
      </c>
      <c r="V36" s="169" t="str">
        <f xml:space="preserve"> IF( AND( SUM( V32:$AE32 )&gt;0, SUM(W32:$AF32)=0, SUM($L32:U32)&gt;$L32 ), "and ", "" )</f>
        <v/>
      </c>
      <c r="W36" s="169" t="str">
        <f xml:space="preserve"> IF( AND( SUM( W32:$AE32 )&gt;0, SUM(X32:$AF32)=0, SUM($L32:V32)&gt;$L32 ), "and ", "" )</f>
        <v/>
      </c>
      <c r="X36" s="169" t="str">
        <f xml:space="preserve"> IF( AND( SUM( X32:$AE32 )&gt;0, SUM(Y32:$AF32)=0, SUM($L32:W32)&gt;$L32 ), "and ", "" )</f>
        <v/>
      </c>
      <c r="Y36" s="169" t="str">
        <f xml:space="preserve"> IF( AND( SUM( Y32:$AE32 )&gt;0, SUM(Z32:$AF32)=0, SUM($L32:X32)&gt;$L32 ), "and ", "" )</f>
        <v/>
      </c>
      <c r="Z36" s="169" t="str">
        <f xml:space="preserve"> IF( AND( SUM( Z32:$AE32 )&gt;0, SUM(AA32:$AF32)=0, SUM($L32:Y32)&gt;$L32 ), "and ", "" )</f>
        <v/>
      </c>
      <c r="AA36" s="169" t="str">
        <f xml:space="preserve"> IF( AND( SUM( AA32:$AE32 )&gt;0, SUM(AB32:$AF32)=0, SUM($L32:Z32)&gt;$L32 ), "and ", "" )</f>
        <v/>
      </c>
      <c r="AB36" s="169" t="str">
        <f xml:space="preserve"> IF( AND( SUM( AB32:$AE32 )&gt;0, SUM(AC32:$AF32)=0, SUM($L32:AA32)&gt;$L32 ), "and ", "" )</f>
        <v/>
      </c>
      <c r="AC36" s="169" t="str">
        <f xml:space="preserve"> IF( AND( SUM( AC32:$AE32 )&gt;0, SUM(AD32:$AF32)=0, SUM($L32:AB32)&gt;$L32 ), "and ", "" )</f>
        <v/>
      </c>
      <c r="AD36" s="169" t="str">
        <f xml:space="preserve"> IF( AND( SUM( AD32:$AE32 )&gt;0, SUM(AE32:$AF32)=0, SUM($L32:AC32)&gt;$L32 ), "and ", "" )</f>
        <v/>
      </c>
      <c r="AE36" s="169" t="str">
        <f xml:space="preserve"> IF( AND( SUM( AE32:$AE32 )&gt;0, SUM(AF32:$AF32)=0, SUM($L32:AD32)&gt;$L32 ), "and ", "" )</f>
        <v/>
      </c>
      <c r="AF36" s="169"/>
    </row>
    <row r="37" spans="11:32">
      <c r="L37" s="169"/>
      <c r="M37" s="169" t="str">
        <f xml:space="preserve"> IF( SUM( $M32:M32 )&gt;M32, ", ", "" )</f>
        <v/>
      </c>
      <c r="N37" s="169" t="str">
        <f xml:space="preserve"> IF( SUM( $M32:N32 )&gt;N32, ", ", "" )</f>
        <v xml:space="preserve">, </v>
      </c>
      <c r="O37" s="169" t="str">
        <f xml:space="preserve"> IF( SUM( $M32:O32 )&gt;O32, ", ", "" )</f>
        <v xml:space="preserve">, </v>
      </c>
      <c r="P37" s="169" t="str">
        <f xml:space="preserve"> IF( SUM( $M32:P32 )&gt;P32, ", ", "" )</f>
        <v xml:space="preserve">, </v>
      </c>
      <c r="Q37" s="169" t="str">
        <f xml:space="preserve"> IF( SUM( $M32:Q32 )&gt;Q32, ", ", "" )</f>
        <v xml:space="preserve">, </v>
      </c>
      <c r="R37" s="169" t="str">
        <f xml:space="preserve"> IF( SUM( $M32:R32 )&gt;R32, ", ", "" )</f>
        <v xml:space="preserve">, </v>
      </c>
      <c r="S37" s="169" t="str">
        <f xml:space="preserve"> IF( SUM( $M32:S32 )&gt;S32, ", ", "" )</f>
        <v xml:space="preserve">, </v>
      </c>
      <c r="T37" s="169" t="str">
        <f xml:space="preserve"> IF( SUM( $M32:T32 )&gt;T32, ", ", "" )</f>
        <v xml:space="preserve">, </v>
      </c>
      <c r="U37" s="169" t="str">
        <f xml:space="preserve"> IF( SUM( $M32:U32 )&gt;U32, ", ", "" )</f>
        <v xml:space="preserve">, </v>
      </c>
      <c r="V37" s="169" t="str">
        <f xml:space="preserve"> IF( SUM( $M32:V32 )&gt;V32, ", ", "" )</f>
        <v xml:space="preserve">, </v>
      </c>
      <c r="W37" s="169" t="str">
        <f xml:space="preserve"> IF( SUM( $M32:W32 )&gt;W32, ", ", "" )</f>
        <v xml:space="preserve">, </v>
      </c>
      <c r="X37" s="169" t="str">
        <f xml:space="preserve"> IF( SUM( $M32:X32 )&gt;X32, ", ", "" )</f>
        <v xml:space="preserve">, </v>
      </c>
      <c r="Y37" s="169" t="str">
        <f xml:space="preserve"> IF( SUM( $M32:Y32 )&gt;Y32, ", ", "" )</f>
        <v xml:space="preserve">, </v>
      </c>
      <c r="Z37" s="169" t="str">
        <f xml:space="preserve"> IF( SUM( $M32:Z32 )&gt;Z32, ", ", "" )</f>
        <v xml:space="preserve">, </v>
      </c>
      <c r="AA37" s="169" t="str">
        <f xml:space="preserve"> IF( SUM( $M32:AA32 )&gt;AA32, ", ", "" )</f>
        <v xml:space="preserve">, </v>
      </c>
      <c r="AB37" s="169" t="str">
        <f xml:space="preserve"> IF( SUM( $M32:AB32 )&gt;AB32, ", ", "" )</f>
        <v xml:space="preserve">, </v>
      </c>
      <c r="AC37" s="169" t="str">
        <f xml:space="preserve"> IF( SUM( $M32:AC32 )&gt;AC32, ", ", "" )</f>
        <v xml:space="preserve">, </v>
      </c>
      <c r="AD37" s="169" t="str">
        <f xml:space="preserve"> IF( SUM( $M32:AD32 )&gt;AD32, ", ", "" )</f>
        <v xml:space="preserve">, </v>
      </c>
      <c r="AE37" s="169" t="str">
        <f xml:space="preserve"> IF( SUM( $M32:AE32 )&gt;AE32, ", ", "" )</f>
        <v xml:space="preserve">, </v>
      </c>
      <c r="AF37" s="169"/>
    </row>
    <row r="38" spans="11:32">
      <c r="L38" s="169" t="str">
        <f xml:space="preserve"> CONCATENATE( L37 &amp; L36 &amp; L35 )</f>
        <v>three sensors</v>
      </c>
      <c r="M38" s="169" t="str">
        <f xml:space="preserve"> CONCATENATE( M37 &amp; M36 &amp; M35 )</f>
        <v>a Mod AR Surf Commu-10 +2 A+7 PA(Elec)</v>
      </c>
      <c r="N38" s="169" t="str">
        <f t="shared" ref="N38:AE38" si="49" xml:space="preserve"> CONCATENATE( N37 &amp; N36 &amp; N35 )</f>
        <v xml:space="preserve">, no </v>
      </c>
      <c r="O38" s="169" t="str">
        <f t="shared" si="49"/>
        <v>, a Mod AR Surf Radar-11 +2 A+7 PA(Elec)</v>
      </c>
      <c r="P38" s="169" t="str">
        <f t="shared" si="49"/>
        <v>, and a Mod AR Surf Scope-11 +2 A-- P(Phot)</v>
      </c>
      <c r="Q38" s="169" t="str">
        <f t="shared" si="49"/>
        <v xml:space="preserve">, no </v>
      </c>
      <c r="R38" s="169" t="str">
        <f t="shared" si="49"/>
        <v xml:space="preserve">, no </v>
      </c>
      <c r="S38" s="169" t="str">
        <f t="shared" si="49"/>
        <v xml:space="preserve">, no </v>
      </c>
      <c r="T38" s="169" t="str">
        <f t="shared" si="49"/>
        <v xml:space="preserve">, no </v>
      </c>
      <c r="U38" s="169" t="str">
        <f t="shared" si="49"/>
        <v xml:space="preserve">, no </v>
      </c>
      <c r="V38" s="169" t="str">
        <f t="shared" si="49"/>
        <v>, no None</v>
      </c>
      <c r="W38" s="169" t="str">
        <f t="shared" si="49"/>
        <v>, no None</v>
      </c>
      <c r="X38" s="169" t="str">
        <f t="shared" si="49"/>
        <v>, no None</v>
      </c>
      <c r="Y38" s="169" t="str">
        <f t="shared" si="49"/>
        <v>, no None</v>
      </c>
      <c r="Z38" s="169" t="str">
        <f t="shared" si="49"/>
        <v>, no None</v>
      </c>
      <c r="AA38" s="169" t="str">
        <f t="shared" si="49"/>
        <v>, no None</v>
      </c>
      <c r="AB38" s="169" t="str">
        <f t="shared" si="49"/>
        <v>, no None</v>
      </c>
      <c r="AC38" s="169" t="str">
        <f t="shared" si="49"/>
        <v>, no None</v>
      </c>
      <c r="AD38" s="169" t="str">
        <f t="shared" si="49"/>
        <v>, no None</v>
      </c>
      <c r="AE38" s="169" t="str">
        <f t="shared" si="49"/>
        <v>, no None</v>
      </c>
      <c r="AF38" s="169"/>
    </row>
    <row r="39" spans="11:32">
      <c r="K39" s="167" t="str">
        <f>M39</f>
        <v>a Mod AR Surf Commu-10 +2 A+7 PA(Elec), a Mod AR Surf Radar-11 +2 A+7 PA(Elec), and a Mod AR Surf Scope-11 +2 A-- P(Phot).</v>
      </c>
      <c r="L39" s="169"/>
      <c r="M39" s="169" t="str">
        <f t="shared" ref="M39" si="50" xml:space="preserve"> CONCATENATE( IF( M32&gt;0, M38, "" ) &amp; N39 )</f>
        <v>a Mod AR Surf Commu-10 +2 A+7 PA(Elec), a Mod AR Surf Radar-11 +2 A+7 PA(Elec), and a Mod AR Surf Scope-11 +2 A-- P(Phot).</v>
      </c>
      <c r="N39" s="169" t="str">
        <f t="shared" ref="N39" si="51" xml:space="preserve"> CONCATENATE( IF( N32&gt;0, N38, "" ) &amp; O39 )</f>
        <v>, a Mod AR Surf Radar-11 +2 A+7 PA(Elec), and a Mod AR Surf Scope-11 +2 A-- P(Phot).</v>
      </c>
      <c r="O39" s="169" t="str">
        <f t="shared" ref="O39" si="52" xml:space="preserve"> CONCATENATE( IF( O32&gt;0, O38, "" ) &amp; P39 )</f>
        <v>, a Mod AR Surf Radar-11 +2 A+7 PA(Elec), and a Mod AR Surf Scope-11 +2 A-- P(Phot).</v>
      </c>
      <c r="P39" s="169" t="str">
        <f t="shared" ref="P39" si="53" xml:space="preserve"> CONCATENATE( IF( P32&gt;0, P38, "" ) &amp; Q39 )</f>
        <v>, and a Mod AR Surf Scope-11 +2 A-- P(Phot).</v>
      </c>
      <c r="Q39" s="169" t="str">
        <f t="shared" ref="Q39" si="54" xml:space="preserve"> CONCATENATE( IF( Q32&gt;0, Q38, "" ) &amp; R39 )</f>
        <v>.</v>
      </c>
      <c r="R39" s="169" t="str">
        <f t="shared" ref="R39" si="55" xml:space="preserve"> CONCATENATE( IF( R32&gt;0, R38, "" ) &amp; S39 )</f>
        <v>.</v>
      </c>
      <c r="S39" s="169" t="str">
        <f t="shared" ref="S39" si="56" xml:space="preserve"> CONCATENATE( IF( S32&gt;0, S38, "" ) &amp; T39 )</f>
        <v>.</v>
      </c>
      <c r="T39" s="169" t="str">
        <f t="shared" ref="T39" si="57" xml:space="preserve"> CONCATENATE( IF( T32&gt;0, T38, "" ) &amp; U39 )</f>
        <v>.</v>
      </c>
      <c r="U39" s="169" t="str">
        <f t="shared" ref="U39" si="58" xml:space="preserve"> CONCATENATE( IF( U32&gt;0, U38, "" ) &amp; V39 )</f>
        <v>.</v>
      </c>
      <c r="V39" s="169" t="str">
        <f t="shared" ref="V39" si="59" xml:space="preserve"> CONCATENATE( IF( V32&gt;0, V38, "" ) &amp; W39 )</f>
        <v>.</v>
      </c>
      <c r="W39" s="169" t="str">
        <f t="shared" ref="W39" si="60" xml:space="preserve"> CONCATENATE( IF( W32&gt;0, W38, "" ) &amp; X39 )</f>
        <v>.</v>
      </c>
      <c r="X39" s="169" t="str">
        <f t="shared" ref="X39" si="61" xml:space="preserve"> CONCATENATE( IF( X32&gt;0, X38, "" ) &amp; Y39 )</f>
        <v>.</v>
      </c>
      <c r="Y39" s="169" t="str">
        <f t="shared" ref="Y39" si="62" xml:space="preserve"> CONCATENATE( IF( Y32&gt;0, Y38, "" ) &amp; Z39 )</f>
        <v>.</v>
      </c>
      <c r="Z39" s="169" t="str">
        <f t="shared" ref="Z39" si="63" xml:space="preserve"> CONCATENATE( IF( Z32&gt;0, Z38, "" ) &amp; AA39 )</f>
        <v>.</v>
      </c>
      <c r="AA39" s="169" t="str">
        <f t="shared" ref="AA39" si="64" xml:space="preserve"> CONCATENATE( IF( AA32&gt;0, AA38, "" ) &amp; AB39 )</f>
        <v>.</v>
      </c>
      <c r="AB39" s="169" t="str">
        <f t="shared" ref="AB39" si="65" xml:space="preserve"> CONCATENATE( IF( AB32&gt;0, AB38, "" ) &amp; AC39 )</f>
        <v>.</v>
      </c>
      <c r="AC39" s="169" t="str">
        <f t="shared" ref="AC39" si="66" xml:space="preserve"> CONCATENATE( IF( AC32&gt;0, AC38, "" ) &amp; AD39 )</f>
        <v>.</v>
      </c>
      <c r="AD39" s="169" t="str">
        <f t="shared" ref="AD39" si="67" xml:space="preserve"> CONCATENATE( IF( AD32&gt;0, AD38, "" ) &amp; AE39 )</f>
        <v>.</v>
      </c>
      <c r="AE39" s="169" t="str">
        <f t="shared" ref="AE39" si="68" xml:space="preserve"> CONCATENATE( IF( AE32&gt;0, AE38, "" ) &amp; AF39 )</f>
        <v>.</v>
      </c>
      <c r="AF39" s="169" t="str">
        <f>"."</f>
        <v>.</v>
      </c>
    </row>
    <row r="40" spans="11:32">
      <c r="P40" s="172"/>
      <c r="S40" s="172"/>
      <c r="V40" s="172"/>
    </row>
    <row r="41" spans="11:32">
      <c r="K41" s="167" t="s">
        <v>1057</v>
      </c>
      <c r="L41" s="169" t="s">
        <v>1058</v>
      </c>
      <c r="M41" s="173" t="s">
        <v>1059</v>
      </c>
      <c r="N41" s="173" t="s">
        <v>928</v>
      </c>
      <c r="O41" s="173" t="s">
        <v>525</v>
      </c>
      <c r="P41" s="173" t="s">
        <v>747</v>
      </c>
      <c r="Q41" s="173" t="s">
        <v>550</v>
      </c>
      <c r="R41" s="173" t="s">
        <v>392</v>
      </c>
      <c r="S41" s="173" t="s">
        <v>207</v>
      </c>
      <c r="T41" s="173" t="s">
        <v>136</v>
      </c>
      <c r="U41" s="173" t="s">
        <v>455</v>
      </c>
      <c r="V41" s="173" t="s">
        <v>111</v>
      </c>
      <c r="W41" s="173" t="s">
        <v>649</v>
      </c>
      <c r="X41" s="169"/>
    </row>
    <row r="42" spans="11:32">
      <c r="L42" s="173" t="str">
        <f xml:space="preserve"> IF( IFERROR( SEARCH( LOWER( LEFT( L41, 1 ) ), vowels ), 0 )&gt;0, "an", "a" )</f>
        <v>an</v>
      </c>
      <c r="M42" s="173" t="str">
        <f t="shared" ref="M42:W42" si="69" xml:space="preserve"> IF( IFERROR( SEARCH( LOWER( LEFT( M41, 1 ) ), vowels ), 0 )&gt;0, "an", "a" )</f>
        <v>an</v>
      </c>
      <c r="N42" s="173" t="str">
        <f t="shared" si="69"/>
        <v>a</v>
      </c>
      <c r="O42" s="173" t="str">
        <f t="shared" si="69"/>
        <v>a</v>
      </c>
      <c r="P42" s="173" t="str">
        <f t="shared" si="69"/>
        <v>a</v>
      </c>
      <c r="Q42" s="173" t="str">
        <f t="shared" si="69"/>
        <v>an</v>
      </c>
      <c r="R42" s="173" t="str">
        <f t="shared" si="69"/>
        <v>a</v>
      </c>
      <c r="S42" s="173" t="str">
        <f t="shared" si="69"/>
        <v>a</v>
      </c>
      <c r="T42" s="173" t="str">
        <f t="shared" si="69"/>
        <v>a</v>
      </c>
      <c r="U42" s="173" t="str">
        <f t="shared" si="69"/>
        <v>a</v>
      </c>
      <c r="V42" s="173" t="str">
        <f t="shared" si="69"/>
        <v>a</v>
      </c>
      <c r="W42" s="173" t="str">
        <f t="shared" si="69"/>
        <v>a</v>
      </c>
      <c r="X42" s="169"/>
    </row>
    <row r="43" spans="11:32">
      <c r="K43" s="167">
        <f xml:space="preserve"> Ship!C2</f>
        <v>4</v>
      </c>
      <c r="L43" s="173" t="s">
        <v>720</v>
      </c>
      <c r="M43" s="173" t="s">
        <v>720</v>
      </c>
      <c r="N43" s="173" t="s">
        <v>720</v>
      </c>
      <c r="O43" s="173" t="s">
        <v>720</v>
      </c>
      <c r="P43" s="173" t="s">
        <v>720</v>
      </c>
      <c r="Q43" s="173" t="s">
        <v>720</v>
      </c>
      <c r="R43" s="173" t="s">
        <v>720</v>
      </c>
      <c r="S43" s="173" t="s">
        <v>720</v>
      </c>
      <c r="T43" s="173" t="s">
        <v>1074</v>
      </c>
      <c r="U43" s="173" t="s">
        <v>1074</v>
      </c>
      <c r="V43" s="173"/>
      <c r="W43" s="173" t="s">
        <v>1074</v>
      </c>
      <c r="X43" s="169"/>
    </row>
    <row r="44" spans="11:32">
      <c r="L44" s="169">
        <f xml:space="preserve"> SUM( M44:W44 )</f>
        <v>3</v>
      </c>
      <c r="M44" s="169">
        <f xml:space="preserve"> Ship!J62</f>
        <v>0</v>
      </c>
      <c r="N44" s="169">
        <f xml:space="preserve"> Ship!J63</f>
        <v>3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0</v>
      </c>
      <c r="X44" s="169"/>
    </row>
    <row r="45" spans="11:32">
      <c r="L45" s="173" t="str">
        <f xml:space="preserve"> IF( L44=0, "no", IF( L44=1, L42, IF( L44&lt;=12, VLOOKUP( L44, Tables!$B$2:$D$36, 3 ), L44 ) ) )</f>
        <v>three</v>
      </c>
      <c r="M45" s="173" t="str">
        <f xml:space="preserve"> IF( M44=0, "no", IF( M44=1, M42, IF( M44&lt;=12, VLOOKUP( M44, Tables!$B$2:$D$36, 3 ), M44 ) ) )</f>
        <v>no</v>
      </c>
      <c r="N45" s="173" t="str">
        <f xml:space="preserve"> IF( N44=0, "no", IF( N44=1, N42, IF( N44&lt;=12, VLOOKUP( N44, Tables!$B$2:$D$36, 3 ), N44 ) ) )</f>
        <v>three</v>
      </c>
      <c r="O45" s="173" t="str">
        <f xml:space="preserve"> IF( O44=0, "no", IF( O44=1, O42, IF( O44&lt;=12, VLOOKUP( O44, Tables!$B$2:$D$36, 3 ), O44 ) ) )</f>
        <v>no</v>
      </c>
      <c r="P45" s="173" t="str">
        <f xml:space="preserve"> IF( P44=0, "no", IF( P44=1, P42, IF( P44&lt;=12, VLOOKUP( P44, Tables!$B$2:$D$36, 3 ), P44 ) ) )</f>
        <v>no</v>
      </c>
      <c r="Q45" s="173" t="str">
        <f xml:space="preserve"> IF( Q44=0, "no", IF( Q44=1, Q42, IF( Q44&lt;=12, VLOOKUP( Q44, Tables!$B$2:$D$36, 3 ), Q44 ) ) )</f>
        <v>no</v>
      </c>
      <c r="R45" s="173" t="str">
        <f xml:space="preserve"> IF( R44=0, "no", IF( R44=1, R42, IF( R44&lt;=12, VLOOKUP( R44, Tables!$B$2:$D$36, 3 ), R44 ) ) )</f>
        <v>no</v>
      </c>
      <c r="S45" s="173" t="str">
        <f xml:space="preserve"> IF( S44=0, "no", IF( S44=1, S42, IF( S44&lt;=12, VLOOKUP( S44, Tables!$B$2:$D$36, 3 ), S44 ) ) )</f>
        <v>no</v>
      </c>
      <c r="T45" s="173" t="str">
        <f xml:space="preserve"> IF( T44=0, "no", IF( T44=1, T42, IF( T44&lt;=12, VLOOKUP( T44, Tables!$B$2:$D$36, 3 ), T44 ) ) )</f>
        <v>no</v>
      </c>
      <c r="U45" s="173" t="str">
        <f xml:space="preserve"> IF( U44=0, "no", IF( U44=1, U42, IF( U44&lt;=12, VLOOKUP( U44, Tables!$B$2:$D$36, 3 ), U44 ) ) )</f>
        <v>no</v>
      </c>
      <c r="V45" s="173" t="str">
        <f xml:space="preserve"> IF( V44=0, "no", IF( V44=1, V42, IF( V44&lt;=12, VLOOKUP( V44, Tables!$B$2:$D$36, 3 ), V44 ) ) )</f>
        <v>no</v>
      </c>
      <c r="W45" s="173" t="str">
        <f xml:space="preserve"> IF( W44=0, "no", IF( W44=1, W42, IF( W44&lt;=12, VLOOKUP( W44, Tables!$B$2:$D$36, 3 ), W44 ) ) )</f>
        <v>no</v>
      </c>
      <c r="X45" s="169"/>
    </row>
    <row r="46" spans="11:32">
      <c r="L46" s="173" t="str">
        <f xml:space="preserve"> IF( L44&lt;&gt;1, T(L43), "" )</f>
        <v>s</v>
      </c>
      <c r="M46" s="173" t="str">
        <f t="shared" ref="M46:W46" si="70" xml:space="preserve"> IF( M44&lt;&gt;1, T(M43), "" )</f>
        <v>s</v>
      </c>
      <c r="N46" s="173" t="str">
        <f t="shared" si="70"/>
        <v>s</v>
      </c>
      <c r="O46" s="173" t="str">
        <f t="shared" si="70"/>
        <v>s</v>
      </c>
      <c r="P46" s="173" t="str">
        <f t="shared" si="70"/>
        <v>s</v>
      </c>
      <c r="Q46" s="173" t="str">
        <f t="shared" si="70"/>
        <v>s</v>
      </c>
      <c r="R46" s="173" t="str">
        <f t="shared" si="70"/>
        <v>s</v>
      </c>
      <c r="S46" s="173" t="str">
        <f t="shared" si="70"/>
        <v>s</v>
      </c>
      <c r="T46" s="173" t="str">
        <f t="shared" si="70"/>
        <v>s</v>
      </c>
      <c r="U46" s="173" t="str">
        <f t="shared" si="70"/>
        <v>s</v>
      </c>
      <c r="V46" s="173" t="str">
        <f t="shared" si="70"/>
        <v/>
      </c>
      <c r="W46" s="173" t="str">
        <f t="shared" si="70"/>
        <v>s</v>
      </c>
      <c r="X46" s="169"/>
    </row>
    <row r="47" spans="11:32">
      <c r="L47" s="169" t="str">
        <f t="shared" ref="L47:W47" si="71" xml:space="preserve"> CONCATENATE( L45 &amp; " " &amp; L41 &amp; L46 )</f>
        <v>three accomodationss</v>
      </c>
      <c r="M47" s="169" t="str">
        <f t="shared" si="71"/>
        <v>no officer staterooms</v>
      </c>
      <c r="N47" s="169" t="str">
        <f t="shared" si="71"/>
        <v>three staterooms</v>
      </c>
      <c r="O47" s="169" t="str">
        <f t="shared" si="71"/>
        <v>no steerage berths</v>
      </c>
      <c r="P47" s="169" t="str">
        <f t="shared" si="71"/>
        <v>no low berths</v>
      </c>
      <c r="Q47" s="169" t="str">
        <f t="shared" si="71"/>
        <v>no administrators</v>
      </c>
      <c r="R47" s="169" t="str">
        <f t="shared" si="71"/>
        <v>no medics</v>
      </c>
      <c r="S47" s="169" t="str">
        <f t="shared" si="71"/>
        <v>no stewards</v>
      </c>
      <c r="T47" s="169" t="str">
        <f t="shared" si="71"/>
        <v>no gunners</v>
      </c>
      <c r="U47" s="169" t="str">
        <f t="shared" si="71"/>
        <v>no specialists</v>
      </c>
      <c r="V47" s="169" t="str">
        <f t="shared" si="71"/>
        <v>no flight crew</v>
      </c>
      <c r="W47" s="169" t="str">
        <f t="shared" si="71"/>
        <v>no troops</v>
      </c>
      <c r="X47" s="169"/>
    </row>
    <row r="48" spans="11:32">
      <c r="L48" s="169"/>
      <c r="M48" s="169" t="str">
        <f xml:space="preserve"> IF( AND( SUM( M44:$W44 )&gt;0, SUM(N44:$X44)=0, SUM($L44:L44)&gt;$L44 ), "and ", "" )</f>
        <v/>
      </c>
      <c r="N48" s="169" t="str">
        <f xml:space="preserve"> IF( AND( SUM( N44:$W44 )&gt;0, SUM(O44:$X44)=0, SUM($L44:M44)&gt;$L44 ), "and ", "" )</f>
        <v/>
      </c>
      <c r="O48" s="169" t="str">
        <f xml:space="preserve"> IF( AND( SUM( O44:$W44 )&gt;0, SUM(P44:$X44)=0, SUM($L44:N44)&gt;$L44 ), "and ", "" )</f>
        <v/>
      </c>
      <c r="P48" s="169" t="str">
        <f xml:space="preserve"> IF( AND( SUM( P44:$W44 )&gt;0, SUM(Q44:$X44)=0, SUM($L44:O44)&gt;$L44 ), "and ", "" )</f>
        <v/>
      </c>
      <c r="Q48" s="169" t="str">
        <f xml:space="preserve"> IF( AND( SUM( Q44:$W44 )&gt;0, SUM(R44:$X44)=0, SUM($L44:P44)&gt;$L44 ), "and ", "" )</f>
        <v/>
      </c>
      <c r="R48" s="169" t="str">
        <f xml:space="preserve"> IF( AND( SUM( R44:$W44 )&gt;0, SUM(S44:$X44)=0, SUM($L44:Q44)&gt;$L44 ), "and ", "" )</f>
        <v/>
      </c>
      <c r="S48" s="169" t="str">
        <f xml:space="preserve"> IF( AND( SUM( S44:$W44 )&gt;0, SUM(T44:$X44)=0, SUM($L44:R44)&gt;$L44 ), "and ", "" )</f>
        <v/>
      </c>
      <c r="T48" s="169" t="str">
        <f xml:space="preserve"> IF( AND( SUM( T44:$W44 )&gt;0, SUM(U44:$X44)=0, SUM($L44:S44)&gt;$L44 ), "and ", "" )</f>
        <v/>
      </c>
      <c r="U48" s="169" t="str">
        <f xml:space="preserve"> IF( AND( SUM( U44:$W44 )&gt;0, SUM(V44:$X44)=0, SUM($L44:T44)&gt;$L44 ), "and ", "" )</f>
        <v/>
      </c>
      <c r="V48" s="169" t="str">
        <f xml:space="preserve"> IF( AND( SUM( V44:$W44 )&gt;0, SUM(W44:$X44)=0, SUM($L44:U44)&gt;$L44 ), "and ", "" )</f>
        <v/>
      </c>
      <c r="W48" s="169" t="str">
        <f xml:space="preserve"> IF( AND( SUM( W44:$W44 )&gt;0, SUM(X44:$X44)=0, SUM($L44:V44)&gt;$L44 ), "and ", "" )</f>
        <v/>
      </c>
      <c r="X48" s="169"/>
    </row>
    <row r="49" spans="11:24">
      <c r="L49" s="169"/>
      <c r="M49" s="169" t="str">
        <f xml:space="preserve"> IF( SUM( $M44:M44 )&gt;M44, ", ", "" )</f>
        <v/>
      </c>
      <c r="N49" s="169" t="str">
        <f xml:space="preserve"> IF( SUM( $M44:N44 )&gt;N44, ", ", "" )</f>
        <v/>
      </c>
      <c r="O49" s="169" t="str">
        <f xml:space="preserve"> IF( SUM( $M44:O44 )&gt;O44, ", ", "" )</f>
        <v xml:space="preserve">, </v>
      </c>
      <c r="P49" s="169" t="str">
        <f xml:space="preserve"> IF( SUM( $M44:P44 )&gt;P44, ", ", "" )</f>
        <v xml:space="preserve">, </v>
      </c>
      <c r="Q49" s="169" t="str">
        <f xml:space="preserve"> IF( SUM( $M44:Q44 )&gt;Q44, ", ", "" )</f>
        <v xml:space="preserve">, </v>
      </c>
      <c r="R49" s="169" t="str">
        <f xml:space="preserve"> IF( SUM( $M44:R44 )&gt;R44, ", ", "" )</f>
        <v xml:space="preserve">, </v>
      </c>
      <c r="S49" s="169" t="str">
        <f xml:space="preserve"> IF( SUM( $M44:S44 )&gt;S44, ", ", "" )</f>
        <v xml:space="preserve">, </v>
      </c>
      <c r="T49" s="169" t="str">
        <f xml:space="preserve"> IF( SUM( $M44:T44 )&gt;T44, ", ", "" )</f>
        <v xml:space="preserve">, </v>
      </c>
      <c r="U49" s="169" t="str">
        <f xml:space="preserve"> IF( SUM( $M44:U44 )&gt;U44, ", ", "" )</f>
        <v xml:space="preserve">, </v>
      </c>
      <c r="V49" s="169" t="str">
        <f xml:space="preserve"> IF( SUM( $M44:V44 )&gt;V44, ", ", "" )</f>
        <v xml:space="preserve">, </v>
      </c>
      <c r="W49" s="169" t="str">
        <f xml:space="preserve"> IF( SUM( $M44:W44 )&gt;W44, ", ", "" )</f>
        <v xml:space="preserve">, </v>
      </c>
      <c r="X49" s="169"/>
    </row>
    <row r="50" spans="11:24">
      <c r="L50" s="169" t="str">
        <f xml:space="preserve"> CONCATENATE( L49 &amp; L48 &amp; L47 )</f>
        <v>three accomodationss</v>
      </c>
      <c r="M50" s="169" t="str">
        <f xml:space="preserve"> CONCATENATE( M49 &amp; M48 &amp; M47 )</f>
        <v>no officer staterooms</v>
      </c>
      <c r="N50" s="169" t="str">
        <f t="shared" ref="N50" si="72" xml:space="preserve"> CONCATENATE( N49 &amp; N48 &amp; N47 )</f>
        <v>three staterooms</v>
      </c>
      <c r="O50" s="169" t="str">
        <f t="shared" ref="O50" si="73" xml:space="preserve"> CONCATENATE( O49 &amp; O48 &amp; O47 )</f>
        <v>, no steerage berths</v>
      </c>
      <c r="P50" s="169" t="str">
        <f t="shared" ref="P50" si="74" xml:space="preserve"> CONCATENATE( P49 &amp; P48 &amp; P47 )</f>
        <v>, no low berths</v>
      </c>
      <c r="Q50" s="169" t="str">
        <f t="shared" ref="Q50" si="75" xml:space="preserve"> CONCATENATE( Q49 &amp; Q48 &amp; Q47 )</f>
        <v>, no administrators</v>
      </c>
      <c r="R50" s="169" t="str">
        <f t="shared" ref="R50" si="76" xml:space="preserve"> CONCATENATE( R49 &amp; R48 &amp; R47 )</f>
        <v>, no medics</v>
      </c>
      <c r="S50" s="169" t="str">
        <f t="shared" ref="S50" si="77" xml:space="preserve"> CONCATENATE( S49 &amp; S48 &amp; S47 )</f>
        <v>, no stewards</v>
      </c>
      <c r="T50" s="169" t="str">
        <f t="shared" ref="T50" si="78" xml:space="preserve"> CONCATENATE( T49 &amp; T48 &amp; T47 )</f>
        <v>, no gunners</v>
      </c>
      <c r="U50" s="169" t="str">
        <f t="shared" ref="U50" si="79" xml:space="preserve"> CONCATENATE( U49 &amp; U48 &amp; U47 )</f>
        <v>, no specialists</v>
      </c>
      <c r="V50" s="169" t="str">
        <f t="shared" ref="V50" si="80" xml:space="preserve"> CONCATENATE( V49 &amp; V48 &amp; V47 )</f>
        <v>, no flight crew</v>
      </c>
      <c r="W50" s="169" t="str">
        <f t="shared" ref="W50" si="81" xml:space="preserve"> CONCATENATE( W49 &amp; W48 &amp; W47 )</f>
        <v>, no troops</v>
      </c>
      <c r="X50" s="169"/>
    </row>
    <row r="51" spans="11:24">
      <c r="K51" s="167" t="str">
        <f>M51</f>
        <v>three staterooms</v>
      </c>
      <c r="L51" s="169"/>
      <c r="M51" s="169" t="str">
        <f t="shared" ref="M51" si="82" xml:space="preserve"> CONCATENATE( IF( M44&gt;0, M50, "" ) &amp; N51 )</f>
        <v>three staterooms</v>
      </c>
      <c r="N51" s="169" t="str">
        <f t="shared" ref="N51" si="83" xml:space="preserve"> CONCATENATE( IF( N44&gt;0, N50, "" ) &amp; O51 )</f>
        <v>three staterooms</v>
      </c>
      <c r="O51" s="169" t="str">
        <f t="shared" ref="O51" si="84" xml:space="preserve"> CONCATENATE( IF( O44&gt;0, O50, "" ) &amp; P51 )</f>
        <v/>
      </c>
      <c r="P51" s="169" t="str">
        <f t="shared" ref="P51" si="85" xml:space="preserve"> CONCATENATE( IF( P44&gt;0, P50, "" ) &amp; Q51 )</f>
        <v/>
      </c>
      <c r="Q51" s="169" t="str">
        <f t="shared" ref="Q51" si="86" xml:space="preserve"> CONCATENATE( IF( Q44&gt;0, Q50, "" ) &amp; R51 )</f>
        <v/>
      </c>
      <c r="R51" s="169" t="str">
        <f t="shared" ref="R51" si="87" xml:space="preserve"> CONCATENATE( IF( R44&gt;0, R50, "" ) &amp; S51 )</f>
        <v/>
      </c>
      <c r="S51" s="169" t="str">
        <f t="shared" ref="S51" si="88" xml:space="preserve"> CONCATENATE( IF( S44&gt;0, S50, "" ) &amp; T51 )</f>
        <v/>
      </c>
      <c r="T51" s="169" t="str">
        <f t="shared" ref="T51" si="89" xml:space="preserve"> CONCATENATE( IF( T44&gt;0, T50, "" ) &amp; U51 )</f>
        <v/>
      </c>
      <c r="U51" s="169" t="str">
        <f t="shared" ref="U51" si="90" xml:space="preserve"> CONCATENATE( IF( U44&gt;0, U50, "" ) &amp; V51 )</f>
        <v/>
      </c>
      <c r="V51" s="169" t="str">
        <f t="shared" ref="V51" si="91" xml:space="preserve"> CONCATENATE( IF( V44&gt;0, V50, "" ) &amp; W51 )</f>
        <v/>
      </c>
      <c r="W51" s="169" t="str">
        <f t="shared" ref="W51" si="92" xml:space="preserve"> CONCATENATE( IF( W44&gt;0, W50, "" ) &amp; X51 )</f>
        <v/>
      </c>
      <c r="X51" s="169" t="str">
        <f>""</f>
        <v/>
      </c>
    </row>
    <row r="53" spans="11:24">
      <c r="K53" s="167" t="s">
        <v>1054</v>
      </c>
      <c r="L53" s="169" t="s">
        <v>902</v>
      </c>
      <c r="M53" s="173" t="s">
        <v>1106</v>
      </c>
      <c r="N53" s="173" t="s">
        <v>1107</v>
      </c>
      <c r="O53" s="173" t="s">
        <v>899</v>
      </c>
      <c r="P53" s="173" t="s">
        <v>476</v>
      </c>
      <c r="Q53" s="173" t="s">
        <v>1109</v>
      </c>
      <c r="R53" s="173" t="s">
        <v>1110</v>
      </c>
      <c r="S53" s="173" t="s">
        <v>1111</v>
      </c>
      <c r="T53" s="173" t="s">
        <v>1129</v>
      </c>
      <c r="U53" s="173" t="s">
        <v>359</v>
      </c>
      <c r="V53" s="173" t="s">
        <v>57</v>
      </c>
      <c r="W53" s="173" t="s">
        <v>246</v>
      </c>
      <c r="X53" s="169"/>
    </row>
    <row r="54" spans="11:24">
      <c r="L54" s="173" t="str">
        <f xml:space="preserve"> IF( IFERROR( SEARCH( LOWER( LEFT( L53, 1 ) ), vowels ), 0 )&gt;0, "an", "a" )</f>
        <v>an</v>
      </c>
      <c r="M54" s="173" t="str">
        <f t="shared" ref="M54:W54" si="93" xml:space="preserve"> IF( IFERROR( SEARCH( LOWER( LEFT( M53, 1 ) ), vowels ), 0 )&gt;0, "an", "a" )</f>
        <v>a</v>
      </c>
      <c r="N54" s="173" t="str">
        <f t="shared" si="93"/>
        <v>a</v>
      </c>
      <c r="O54" s="173" t="str">
        <f t="shared" si="93"/>
        <v>a</v>
      </c>
      <c r="P54" s="173" t="str">
        <f t="shared" si="93"/>
        <v>a</v>
      </c>
      <c r="Q54" s="173" t="str">
        <f t="shared" si="93"/>
        <v>an</v>
      </c>
      <c r="R54" s="173" t="str">
        <f t="shared" si="93"/>
        <v>a</v>
      </c>
      <c r="S54" s="173" t="str">
        <f t="shared" si="93"/>
        <v>a</v>
      </c>
      <c r="T54" s="173" t="str">
        <f t="shared" si="93"/>
        <v>a</v>
      </c>
      <c r="U54" s="173" t="str">
        <f t="shared" si="93"/>
        <v>a</v>
      </c>
      <c r="V54" s="173" t="str">
        <f t="shared" si="93"/>
        <v>a</v>
      </c>
      <c r="W54" s="173" t="str">
        <f t="shared" si="93"/>
        <v>a</v>
      </c>
      <c r="X54" s="169"/>
    </row>
    <row r="55" spans="11:24">
      <c r="K55" s="167">
        <f xml:space="preserve"> Ship!C3</f>
        <v>0</v>
      </c>
      <c r="L55" s="173" t="s">
        <v>720</v>
      </c>
      <c r="M55" s="173" t="s">
        <v>720</v>
      </c>
      <c r="N55" s="173" t="s">
        <v>720</v>
      </c>
      <c r="O55" s="173" t="s">
        <v>720</v>
      </c>
      <c r="P55" s="173" t="s">
        <v>720</v>
      </c>
      <c r="Q55" s="173" t="s">
        <v>720</v>
      </c>
      <c r="R55" s="173" t="s">
        <v>720</v>
      </c>
      <c r="S55" s="173" t="s">
        <v>720</v>
      </c>
      <c r="T55" s="173" t="s">
        <v>720</v>
      </c>
      <c r="U55" s="173" t="s">
        <v>720</v>
      </c>
      <c r="V55" s="173"/>
      <c r="W55" s="173" t="s">
        <v>720</v>
      </c>
      <c r="X55" s="169"/>
    </row>
    <row r="56" spans="11:24">
      <c r="L56" s="169">
        <f xml:space="preserve"> SUM( M56:W56 )</f>
        <v>0</v>
      </c>
      <c r="M56" s="169">
        <f xml:space="preserve"> Ship!J68</f>
        <v>0</v>
      </c>
      <c r="N56" s="169">
        <f xml:space="preserve"> Ship!J69</f>
        <v>0</v>
      </c>
      <c r="O56" s="169">
        <f xml:space="preserve"> Ship!J73</f>
        <v>0</v>
      </c>
      <c r="P56" s="169">
        <f xml:space="preserve"> Ship!J77</f>
        <v>0</v>
      </c>
      <c r="Q56" s="169">
        <v>0</v>
      </c>
      <c r="R56" s="169">
        <v>0</v>
      </c>
      <c r="S56" s="169">
        <v>0</v>
      </c>
      <c r="T56" s="169">
        <v>0</v>
      </c>
      <c r="U56" s="169">
        <v>0</v>
      </c>
      <c r="V56" s="169">
        <v>0</v>
      </c>
      <c r="W56" s="169">
        <v>0</v>
      </c>
      <c r="X56" s="169"/>
    </row>
    <row r="57" spans="11:24">
      <c r="L57" s="173" t="str">
        <f xml:space="preserve"> IF( L56=0, "no", IF( L56=1, L54, IF( L56&lt;=12, VLOOKUP( L56, Tables!$B$2:$D$36, 3 ), L56 ) ) )</f>
        <v>no</v>
      </c>
      <c r="M57" s="173" t="str">
        <f xml:space="preserve"> IF( M56=0, "no", IF( M56=1, M54, IF( M56&lt;=12, VLOOKUP( M56, Tables!$B$2:$D$36, 3 ), M56 ) ) )</f>
        <v>no</v>
      </c>
      <c r="N57" s="173" t="str">
        <f xml:space="preserve"> IF( N56=0, "no", IF( N56=1, N54, IF( N56&lt;=12, VLOOKUP( N56, Tables!$B$2:$D$36, 3 ), N56 ) ) )</f>
        <v>no</v>
      </c>
      <c r="O57" s="173" t="str">
        <f xml:space="preserve"> IF( O56=0, "no", IF( O56=1, O54, IF( O56&lt;=12, VLOOKUP( O56, Tables!$B$2:$D$36, 3 ), O56 ) ) )</f>
        <v>no</v>
      </c>
      <c r="P57" s="173" t="str">
        <f xml:space="preserve"> IF( P56=0, "no", IF( P56=1, P54, IF( P56&lt;=12, VLOOKUP( P56, Tables!$B$2:$D$36, 3 ), P56 ) ) )</f>
        <v>no</v>
      </c>
      <c r="Q57" s="173" t="str">
        <f xml:space="preserve"> IF( Q56=0, "no", IF( Q56=1, Q54, IF( Q56&lt;=12, VLOOKUP( Q56, Tables!$B$2:$D$36, 3 ), Q56 ) ) )</f>
        <v>no</v>
      </c>
      <c r="R57" s="173" t="str">
        <f xml:space="preserve"> IF( R56=0, "no", IF( R56=1, R54, IF( R56&lt;=12, VLOOKUP( R56, Tables!$B$2:$D$36, 3 ), R56 ) ) )</f>
        <v>no</v>
      </c>
      <c r="S57" s="173" t="str">
        <f xml:space="preserve"> IF( S56=0, "no", IF( S56=1, S54, IF( S56&lt;=12, VLOOKUP( S56, Tables!$B$2:$D$36, 3 ), S56 ) ) )</f>
        <v>no</v>
      </c>
      <c r="T57" s="173" t="str">
        <f xml:space="preserve"> IF( T56=0, "no", IF( T56=1, T54, IF( T56&lt;=12, VLOOKUP( T56, Tables!$B$2:$D$36, 3 ), T56 ) ) )</f>
        <v>no</v>
      </c>
      <c r="U57" s="173" t="str">
        <f xml:space="preserve"> IF( U56=0, "no", IF( U56=1, U54, IF( U56&lt;=12, VLOOKUP( U56, Tables!$B$2:$D$36, 3 ), U56 ) ) )</f>
        <v>no</v>
      </c>
      <c r="V57" s="173" t="str">
        <f xml:space="preserve"> IF( V56=0, "no", IF( V56=1, V54, IF( V56&lt;=12, VLOOKUP( V56, Tables!$B$2:$D$36, 3 ), V56 ) ) )</f>
        <v>no</v>
      </c>
      <c r="W57" s="173" t="str">
        <f xml:space="preserve"> IF( W56=0, "no", IF( W56=1, W54, IF( W56&lt;=12, VLOOKUP( W56, Tables!$B$2:$D$36, 3 ), W56 ) ) )</f>
        <v>no</v>
      </c>
      <c r="X57" s="169"/>
    </row>
    <row r="58" spans="11:24">
      <c r="L58" s="173" t="str">
        <f xml:space="preserve"> IF( L56&lt;&gt;1, T(L55), "" )</f>
        <v>s</v>
      </c>
      <c r="M58" s="173" t="str">
        <f t="shared" ref="M58:W58" si="94" xml:space="preserve"> IF( M56&lt;&gt;1, T(M55), "" )</f>
        <v>s</v>
      </c>
      <c r="N58" s="173" t="str">
        <f t="shared" si="94"/>
        <v>s</v>
      </c>
      <c r="O58" s="173" t="str">
        <f t="shared" si="94"/>
        <v>s</v>
      </c>
      <c r="P58" s="173" t="str">
        <f t="shared" si="94"/>
        <v>s</v>
      </c>
      <c r="Q58" s="173" t="str">
        <f t="shared" si="94"/>
        <v>s</v>
      </c>
      <c r="R58" s="173" t="str">
        <f t="shared" si="94"/>
        <v>s</v>
      </c>
      <c r="S58" s="173" t="str">
        <f t="shared" si="94"/>
        <v>s</v>
      </c>
      <c r="T58" s="173" t="str">
        <f t="shared" si="94"/>
        <v>s</v>
      </c>
      <c r="U58" s="173" t="str">
        <f t="shared" si="94"/>
        <v>s</v>
      </c>
      <c r="V58" s="173" t="str">
        <f t="shared" si="94"/>
        <v/>
      </c>
      <c r="W58" s="173" t="str">
        <f t="shared" si="94"/>
        <v>s</v>
      </c>
      <c r="X58" s="169"/>
    </row>
    <row r="59" spans="11:24">
      <c r="L59" s="169" t="str">
        <f t="shared" ref="L59:W59" si="95" xml:space="preserve"> CONCATENATE( L57 &amp; " " &amp; L53 &amp; L58 )</f>
        <v>no accomodationss</v>
      </c>
      <c r="M59" s="169" t="str">
        <f t="shared" si="95"/>
        <v>no high staterooms</v>
      </c>
      <c r="N59" s="169" t="str">
        <f t="shared" si="95"/>
        <v>no staterooms</v>
      </c>
      <c r="O59" s="169" t="str">
        <f t="shared" si="95"/>
        <v>no steerage berths</v>
      </c>
      <c r="P59" s="169" t="str">
        <f t="shared" si="95"/>
        <v>no low berths</v>
      </c>
      <c r="Q59" s="169" t="str">
        <f t="shared" si="95"/>
        <v>no administrators</v>
      </c>
      <c r="R59" s="169" t="str">
        <f t="shared" si="95"/>
        <v>no medics</v>
      </c>
      <c r="S59" s="169" t="str">
        <f t="shared" si="95"/>
        <v>no stewards</v>
      </c>
      <c r="T59" s="169" t="str">
        <f t="shared" si="95"/>
        <v>no gunners</v>
      </c>
      <c r="U59" s="169" t="str">
        <f t="shared" si="95"/>
        <v>no specialists</v>
      </c>
      <c r="V59" s="169" t="str">
        <f t="shared" si="95"/>
        <v>no flight crew</v>
      </c>
      <c r="W59" s="169" t="str">
        <f t="shared" si="95"/>
        <v>no troops</v>
      </c>
      <c r="X59" s="169"/>
    </row>
    <row r="60" spans="11:24">
      <c r="L60" s="169"/>
      <c r="M60" s="169" t="str">
        <f xml:space="preserve"> IF( AND( SUM( M56:$W56 )&gt;0, SUM(N56:$X56)=0, SUM($L56:L56)&gt;$L56 ), "and ", "" )</f>
        <v/>
      </c>
      <c r="N60" s="169" t="str">
        <f xml:space="preserve"> IF( AND( SUM( N56:$W56 )&gt;0, SUM(O56:$X56)=0, SUM($L56:M56)&gt;$L56 ), "and ", "" )</f>
        <v/>
      </c>
      <c r="O60" s="169" t="str">
        <f xml:space="preserve"> IF( AND( SUM( O56:$W56 )&gt;0, SUM(P56:$X56)=0, SUM($L56:N56)&gt;$L56 ), "and ", "" )</f>
        <v/>
      </c>
      <c r="P60" s="169" t="str">
        <f xml:space="preserve"> IF( AND( SUM( P56:$W56 )&gt;0, SUM(Q56:$X56)=0, SUM($L56:O56)&gt;$L56 ), "and ", "" )</f>
        <v/>
      </c>
      <c r="Q60" s="169" t="str">
        <f xml:space="preserve"> IF( AND( SUM( Q56:$W56 )&gt;0, SUM(R56:$X56)=0, SUM($L56:P56)&gt;$L56 ), "and ", "" )</f>
        <v/>
      </c>
      <c r="R60" s="169" t="str">
        <f xml:space="preserve"> IF( AND( SUM( R56:$W56 )&gt;0, SUM(S56:$X56)=0, SUM($L56:Q56)&gt;$L56 ), "and ", "" )</f>
        <v/>
      </c>
      <c r="S60" s="169" t="str">
        <f xml:space="preserve"> IF( AND( SUM( S56:$W56 )&gt;0, SUM(T56:$X56)=0, SUM($L56:R56)&gt;$L56 ), "and ", "" )</f>
        <v/>
      </c>
      <c r="T60" s="169" t="str">
        <f xml:space="preserve"> IF( AND( SUM( T56:$W56 )&gt;0, SUM(U56:$X56)=0, SUM($L56:S56)&gt;$L56 ), "and ", "" )</f>
        <v/>
      </c>
      <c r="U60" s="169" t="str">
        <f xml:space="preserve"> IF( AND( SUM( U56:$W56 )&gt;0, SUM(V56:$X56)=0, SUM($L56:T56)&gt;$L56 ), "and ", "" )</f>
        <v/>
      </c>
      <c r="V60" s="169" t="str">
        <f xml:space="preserve"> IF( AND( SUM( V56:$W56 )&gt;0, SUM(W56:$X56)=0, SUM($L56:U56)&gt;$L56 ), "and ", "" )</f>
        <v/>
      </c>
      <c r="W60" s="169" t="str">
        <f xml:space="preserve"> IF( AND( SUM( W56:$W56 )&gt;0, SUM(X56:$X56)=0, SUM($L56:V56)&gt;$L56 ), "and ", "" )</f>
        <v/>
      </c>
      <c r="X60" s="169"/>
    </row>
    <row r="61" spans="11:24">
      <c r="L61" s="169"/>
      <c r="M61" s="169" t="str">
        <f xml:space="preserve"> IF( SUM( $M56:M56 )&gt;M56, ", ", "" )</f>
        <v/>
      </c>
      <c r="N61" s="169" t="str">
        <f xml:space="preserve"> IF( SUM( $M56:N56 )&gt;N56, ", ", "" )</f>
        <v/>
      </c>
      <c r="O61" s="169" t="str">
        <f xml:space="preserve"> IF( SUM( $M56:O56 )&gt;O56, ", ", "" )</f>
        <v/>
      </c>
      <c r="P61" s="169" t="str">
        <f xml:space="preserve"> IF( SUM( $M56:P56 )&gt;P56, ", ", "" )</f>
        <v/>
      </c>
      <c r="Q61" s="169" t="str">
        <f xml:space="preserve"> IF( SUM( $M56:Q56 )&gt;Q56, ", ", "" )</f>
        <v/>
      </c>
      <c r="R61" s="169" t="str">
        <f xml:space="preserve"> IF( SUM( $M56:R56 )&gt;R56, ", ", "" )</f>
        <v/>
      </c>
      <c r="S61" s="169" t="str">
        <f xml:space="preserve"> IF( SUM( $M56:S56 )&gt;S56, ", ", "" )</f>
        <v/>
      </c>
      <c r="T61" s="169" t="str">
        <f xml:space="preserve"> IF( SUM( $M56:T56 )&gt;T56, ", ", "" )</f>
        <v/>
      </c>
      <c r="U61" s="169" t="str">
        <f xml:space="preserve"> IF( SUM( $M56:U56 )&gt;U56, ", ", "" )</f>
        <v/>
      </c>
      <c r="V61" s="169" t="str">
        <f xml:space="preserve"> IF( SUM( $M56:V56 )&gt;V56, ", ", "" )</f>
        <v/>
      </c>
      <c r="W61" s="169" t="str">
        <f xml:space="preserve"> IF( SUM( $M56:W56 )&gt;W56, ", ", "" )</f>
        <v/>
      </c>
      <c r="X61" s="169"/>
    </row>
    <row r="62" spans="11:24">
      <c r="L62" s="169" t="str">
        <f xml:space="preserve"> CONCATENATE( L61 &amp; L60 &amp; L59 )</f>
        <v>no accomodationss</v>
      </c>
      <c r="M62" s="169" t="str">
        <f xml:space="preserve"> CONCATENATE( M61 &amp; M60 &amp; M59 )</f>
        <v>no high staterooms</v>
      </c>
      <c r="N62" s="169" t="str">
        <f t="shared" ref="N62" si="96" xml:space="preserve"> CONCATENATE( N61 &amp; N60 &amp; N59 )</f>
        <v>no staterooms</v>
      </c>
      <c r="O62" s="169" t="str">
        <f t="shared" ref="O62" si="97" xml:space="preserve"> CONCATENATE( O61 &amp; O60 &amp; O59 )</f>
        <v>no steerage berths</v>
      </c>
      <c r="P62" s="169" t="str">
        <f t="shared" ref="P62" si="98" xml:space="preserve"> CONCATENATE( P61 &amp; P60 &amp; P59 )</f>
        <v>no low berths</v>
      </c>
      <c r="Q62" s="169" t="str">
        <f t="shared" ref="Q62" si="99" xml:space="preserve"> CONCATENATE( Q61 &amp; Q60 &amp; Q59 )</f>
        <v>no administrators</v>
      </c>
      <c r="R62" s="169" t="str">
        <f t="shared" ref="R62" si="100" xml:space="preserve"> CONCATENATE( R61 &amp; R60 &amp; R59 )</f>
        <v>no medics</v>
      </c>
      <c r="S62" s="169" t="str">
        <f t="shared" ref="S62" si="101" xml:space="preserve"> CONCATENATE( S61 &amp; S60 &amp; S59 )</f>
        <v>no stewards</v>
      </c>
      <c r="T62" s="169" t="str">
        <f t="shared" ref="T62" si="102" xml:space="preserve"> CONCATENATE( T61 &amp; T60 &amp; T59 )</f>
        <v>no gunners</v>
      </c>
      <c r="U62" s="169" t="str">
        <f t="shared" ref="U62" si="103" xml:space="preserve"> CONCATENATE( U61 &amp; U60 &amp; U59 )</f>
        <v>no specialists</v>
      </c>
      <c r="V62" s="169" t="str">
        <f t="shared" ref="V62" si="104" xml:space="preserve"> CONCATENATE( V61 &amp; V60 &amp; V59 )</f>
        <v>no flight crew</v>
      </c>
      <c r="W62" s="169" t="str">
        <f t="shared" ref="W62" si="105" xml:space="preserve"> CONCATENATE( W61 &amp; W60 &amp; W59 )</f>
        <v>no troops</v>
      </c>
      <c r="X62" s="169"/>
    </row>
    <row r="63" spans="11:24">
      <c r="K63" s="167" t="str">
        <f>M63</f>
        <v/>
      </c>
      <c r="L63" s="169"/>
      <c r="M63" s="169" t="str">
        <f t="shared" ref="M63" si="106" xml:space="preserve"> CONCATENATE( IF( M56&gt;0, M62, "" ) &amp; N63 )</f>
        <v/>
      </c>
      <c r="N63" s="169" t="str">
        <f t="shared" ref="N63" si="107" xml:space="preserve"> CONCATENATE( IF( N56&gt;0, N62, "" ) &amp; O63 )</f>
        <v/>
      </c>
      <c r="O63" s="169" t="str">
        <f t="shared" ref="O63" si="108" xml:space="preserve"> CONCATENATE( IF( O56&gt;0, O62, "" ) &amp; P63 )</f>
        <v/>
      </c>
      <c r="P63" s="169" t="str">
        <f t="shared" ref="P63" si="109" xml:space="preserve"> CONCATENATE( IF( P56&gt;0, P62, "" ) &amp; Q63 )</f>
        <v/>
      </c>
      <c r="Q63" s="169" t="str">
        <f t="shared" ref="Q63" si="110" xml:space="preserve"> CONCATENATE( IF( Q56&gt;0, Q62, "" ) &amp; R63 )</f>
        <v/>
      </c>
      <c r="R63" s="169" t="str">
        <f t="shared" ref="R63" si="111" xml:space="preserve"> CONCATENATE( IF( R56&gt;0, R62, "" ) &amp; S63 )</f>
        <v/>
      </c>
      <c r="S63" s="169" t="str">
        <f t="shared" ref="S63" si="112" xml:space="preserve"> CONCATENATE( IF( S56&gt;0, S62, "" ) &amp; T63 )</f>
        <v/>
      </c>
      <c r="T63" s="169" t="str">
        <f t="shared" ref="T63" si="113" xml:space="preserve"> CONCATENATE( IF( T56&gt;0, T62, "" ) &amp; U63 )</f>
        <v/>
      </c>
      <c r="U63" s="169" t="str">
        <f t="shared" ref="U63" si="114" xml:space="preserve"> CONCATENATE( IF( U56&gt;0, U62, "" ) &amp; V63 )</f>
        <v/>
      </c>
      <c r="V63" s="169" t="str">
        <f t="shared" ref="V63" si="115" xml:space="preserve"> CONCATENATE( IF( V56&gt;0, V62, "" ) &amp; W63 )</f>
        <v/>
      </c>
      <c r="W63" s="169" t="str">
        <f t="shared" ref="W63" si="116" xml:space="preserve"> CONCATENATE( IF( W56&gt;0, W62, "" ) &amp; X63 )</f>
        <v/>
      </c>
      <c r="X63" s="169" t="str">
        <f>""</f>
        <v/>
      </c>
    </row>
    <row r="64" spans="11:24">
      <c r="L64" s="167">
        <f xml:space="preserve"> ROUNDDOWN( Cargo, 0 )</f>
        <v>31</v>
      </c>
      <c r="M64" s="167">
        <f xml:space="preserve"> Ship!L2</f>
        <v>33.68</v>
      </c>
    </row>
    <row r="65" spans="11:32">
      <c r="K65" s="167" t="s">
        <v>912</v>
      </c>
      <c r="L65" s="169" t="s">
        <v>913</v>
      </c>
      <c r="M65" s="173" t="s">
        <v>1</v>
      </c>
      <c r="N65" s="173" t="s">
        <v>368</v>
      </c>
      <c r="O65" s="173" t="s">
        <v>742</v>
      </c>
      <c r="P65" s="173" t="s">
        <v>310</v>
      </c>
      <c r="Q65" s="173" t="s">
        <v>737</v>
      </c>
      <c r="R65" s="173" t="s">
        <v>997</v>
      </c>
      <c r="S65" s="173" t="s">
        <v>1032</v>
      </c>
      <c r="T65" s="173" t="s">
        <v>100</v>
      </c>
      <c r="U65" s="173" t="s">
        <v>101</v>
      </c>
      <c r="V65" s="173" t="s">
        <v>437</v>
      </c>
      <c r="W65" s="173" t="s">
        <v>438</v>
      </c>
      <c r="X65" s="169"/>
    </row>
    <row r="66" spans="11:32">
      <c r="L66" s="173" t="str">
        <f xml:space="preserve"> IF( IFERROR( SEARCH( LOWER( LEFT( L65, 1 ) ), vowels ), 0 )&gt;0, "an", "a" )</f>
        <v>a</v>
      </c>
      <c r="M66" s="173" t="str">
        <f t="shared" ref="M66:W66" si="117" xml:space="preserve"> IF( IFERROR( SEARCH( LOWER( LEFT( M65, 1 ) ), vowels ), 0 )&gt;0, "an", "a" )</f>
        <v>a</v>
      </c>
      <c r="N66" s="173" t="str">
        <f t="shared" si="117"/>
        <v>a</v>
      </c>
      <c r="O66" s="173" t="str">
        <f t="shared" si="117"/>
        <v>a</v>
      </c>
      <c r="P66" s="173" t="str">
        <f t="shared" si="117"/>
        <v>an</v>
      </c>
      <c r="Q66" s="173" t="str">
        <f t="shared" si="117"/>
        <v>an</v>
      </c>
      <c r="R66" s="173" t="str">
        <f t="shared" si="117"/>
        <v>a</v>
      </c>
      <c r="S66" s="173" t="str">
        <f t="shared" si="117"/>
        <v>a</v>
      </c>
      <c r="T66" s="173" t="str">
        <f t="shared" si="117"/>
        <v>a</v>
      </c>
      <c r="U66" s="173" t="str">
        <f t="shared" si="117"/>
        <v>a</v>
      </c>
      <c r="V66" s="173" t="str">
        <f t="shared" si="117"/>
        <v>a</v>
      </c>
      <c r="W66" s="173" t="str">
        <f t="shared" si="117"/>
        <v>a</v>
      </c>
      <c r="X66" s="169"/>
      <c r="AB66" s="167">
        <v>8</v>
      </c>
    </row>
    <row r="67" spans="11:32">
      <c r="L67" s="173"/>
      <c r="M67" s="173" t="s">
        <v>720</v>
      </c>
      <c r="N67" s="173" t="s">
        <v>720</v>
      </c>
      <c r="O67" s="173" t="s">
        <v>720</v>
      </c>
      <c r="P67" s="173" t="s">
        <v>720</v>
      </c>
      <c r="Q67" s="173" t="s">
        <v>439</v>
      </c>
      <c r="R67" s="173" t="s">
        <v>439</v>
      </c>
      <c r="S67" s="173" t="s">
        <v>439</v>
      </c>
      <c r="T67" s="173" t="s">
        <v>439</v>
      </c>
      <c r="U67" s="173" t="s">
        <v>439</v>
      </c>
      <c r="V67" s="173"/>
      <c r="W67" s="173" t="s">
        <v>439</v>
      </c>
      <c r="X67" s="169"/>
      <c r="AB67" s="167" t="str">
        <f xml:space="preserve"> IFERROR( T( INDEX( Ship!$A$98:$Q$109, AB66, 17 ) ), "None" )</f>
        <v/>
      </c>
    </row>
    <row r="68" spans="11:32">
      <c r="L68" s="169">
        <f xml:space="preserve"> Crew</f>
        <v>3</v>
      </c>
      <c r="M68" s="169">
        <f xml:space="preserve"> Ship!H128</f>
        <v>1</v>
      </c>
      <c r="N68" s="169">
        <f xml:space="preserve"> Ship!H129</f>
        <v>1</v>
      </c>
      <c r="O68" s="169">
        <f xml:space="preserve"> Ship!H130</f>
        <v>0</v>
      </c>
      <c r="P68" s="169">
        <f xml:space="preserve"> Ship!G131</f>
        <v>1</v>
      </c>
      <c r="Q68" s="169">
        <f xml:space="preserve"> Ship!H135</f>
        <v>0</v>
      </c>
      <c r="R68" s="169">
        <f xml:space="preserve"> Ship!H136</f>
        <v>0</v>
      </c>
      <c r="S68" s="169">
        <f xml:space="preserve"> Ship!H137</f>
        <v>0</v>
      </c>
      <c r="T68" s="169">
        <f xml:space="preserve"> Ship!G138</f>
        <v>0</v>
      </c>
      <c r="U68" s="169">
        <f xml:space="preserve"> Ship!G141</f>
        <v>0</v>
      </c>
      <c r="V68" s="169">
        <f xml:space="preserve"> Ship!G142</f>
        <v>0</v>
      </c>
      <c r="W68" s="169">
        <f>Ship!G143</f>
        <v>0</v>
      </c>
      <c r="X68" s="169"/>
      <c r="AB68" s="167">
        <f xml:space="preserve"> IFERROR( INDEX( Ship!$A$98:$Q$109, AB66, 11 ), "None" )</f>
        <v>0</v>
      </c>
    </row>
    <row r="69" spans="11:32">
      <c r="L69" s="173" t="str">
        <f xml:space="preserve"> IF( L68=0, "no", IF( L68&lt;=12, VLOOKUP( L68, Tables!$B$2:$D$36, 3 ), L68 ) )</f>
        <v>three</v>
      </c>
      <c r="M69" s="173" t="str">
        <f xml:space="preserve"> IF( M68=0, "no", IF( M68=1, M66, IF( M68&lt;=12, VLOOKUP( M68, Tables!$B$2:$D$36, 3 ), M68 ) ) )</f>
        <v>a</v>
      </c>
      <c r="N69" s="173" t="str">
        <f xml:space="preserve"> IF( N68=0, "no", IF( N68=1, N66, IF( N68&lt;=12, VLOOKUP( N68, Tables!$B$2:$D$36, 3 ), N68 ) ) )</f>
        <v>a</v>
      </c>
      <c r="O69" s="173" t="str">
        <f xml:space="preserve"> IF( O68=0, "no", IF( O68=1, O66, IF( O68&lt;=12, VLOOKUP( O68, Tables!$B$2:$D$36, 3 ), O68 ) ) )</f>
        <v>no</v>
      </c>
      <c r="P69" s="173" t="str">
        <f xml:space="preserve"> IF( P68=0, "no", IF( P68=1, P66, IF( P68&lt;=12, VLOOKUP( P68, Tables!$B$2:$D$36, 3 ), P68 ) ) )</f>
        <v>an</v>
      </c>
      <c r="Q69" s="173" t="str">
        <f xml:space="preserve"> IF( Q68=0, "no", IF( Q68=1, Q66, IF( Q68&lt;=12, VLOOKUP( Q68, Tables!$B$2:$D$36, 3 ), Q68 ) ) )</f>
        <v>no</v>
      </c>
      <c r="R69" s="173" t="str">
        <f xml:space="preserve"> IF( R68=0, "no", IF( R68=1, R66, IF( R68&lt;=12, VLOOKUP( R68, Tables!$B$2:$D$36, 3 ), R68 ) ) )</f>
        <v>no</v>
      </c>
      <c r="S69" s="173" t="str">
        <f xml:space="preserve"> IF( S68=0, "no", IF( S68=1, S66, IF( S68&lt;=12, VLOOKUP( S68, Tables!$B$2:$D$36, 3 ), S68 ) ) )</f>
        <v>no</v>
      </c>
      <c r="T69" s="173" t="str">
        <f xml:space="preserve"> IF( T68=0, "no", IF( T68=1, T66, IF( T68&lt;=12, VLOOKUP( T68, Tables!$B$2:$D$36, 3 ), T68 ) ) )</f>
        <v>no</v>
      </c>
      <c r="U69" s="173" t="str">
        <f xml:space="preserve"> IF( U68=0, "no", IF( U68=1, U66, IF( U68&lt;=12, VLOOKUP( U68, Tables!$B$2:$D$36, 3 ), U68 ) ) )</f>
        <v>no</v>
      </c>
      <c r="V69" s="173" t="str">
        <f xml:space="preserve"> IF( V68=0, "no", IF( V68=1, V66, IF( V68&lt;=12, VLOOKUP( V68, Tables!$B$2:$D$36, 3 ), V68 ) ) )</f>
        <v>no</v>
      </c>
      <c r="W69" s="173" t="str">
        <f xml:space="preserve"> IF( W68=0, "no", IF( W68=1, W66, IF( W68&lt;=12, VLOOKUP( W68, Tables!$B$2:$D$36, 3 ), W68 ) ) )</f>
        <v>no</v>
      </c>
      <c r="X69" s="169"/>
    </row>
    <row r="70" spans="11:32">
      <c r="L70" s="173" t="str">
        <f xml:space="preserve"> IF( L68&lt;&gt;1, T(L67), "" )</f>
        <v/>
      </c>
      <c r="M70" s="173" t="str">
        <f t="shared" ref="M70:W70" si="118" xml:space="preserve"> IF( M68&lt;&gt;1, T(M67), "" )</f>
        <v/>
      </c>
      <c r="N70" s="173" t="str">
        <f t="shared" si="118"/>
        <v/>
      </c>
      <c r="O70" s="173" t="str">
        <f t="shared" si="118"/>
        <v>s</v>
      </c>
      <c r="P70" s="173" t="str">
        <f t="shared" si="118"/>
        <v/>
      </c>
      <c r="Q70" s="173" t="str">
        <f t="shared" si="118"/>
        <v>s</v>
      </c>
      <c r="R70" s="173" t="str">
        <f t="shared" si="118"/>
        <v>s</v>
      </c>
      <c r="S70" s="173" t="str">
        <f t="shared" si="118"/>
        <v>s</v>
      </c>
      <c r="T70" s="173" t="str">
        <f t="shared" si="118"/>
        <v>s</v>
      </c>
      <c r="U70" s="173" t="str">
        <f t="shared" si="118"/>
        <v>s</v>
      </c>
      <c r="V70" s="173" t="str">
        <f t="shared" si="118"/>
        <v/>
      </c>
      <c r="W70" s="173" t="str">
        <f t="shared" si="118"/>
        <v>s</v>
      </c>
      <c r="X70" s="169"/>
    </row>
    <row r="71" spans="11:32">
      <c r="L71" s="169" t="str">
        <f t="shared" ref="L71:W71" si="119" xml:space="preserve"> CONCATENATE( L69 &amp; " " &amp; L65 &amp; L70 )</f>
        <v>three crew</v>
      </c>
      <c r="M71" s="169" t="str">
        <f t="shared" si="119"/>
        <v>a pilot</v>
      </c>
      <c r="N71" s="169" t="str">
        <f t="shared" si="119"/>
        <v>a navigator</v>
      </c>
      <c r="O71" s="169" t="str">
        <f t="shared" si="119"/>
        <v>no sensor operators</v>
      </c>
      <c r="P71" s="169" t="str">
        <f t="shared" si="119"/>
        <v>an engineer</v>
      </c>
      <c r="Q71" s="169" t="str">
        <f t="shared" si="119"/>
        <v>no administrators</v>
      </c>
      <c r="R71" s="169" t="str">
        <f t="shared" si="119"/>
        <v>no medics</v>
      </c>
      <c r="S71" s="169" t="str">
        <f t="shared" si="119"/>
        <v>no stewards</v>
      </c>
      <c r="T71" s="169" t="str">
        <f t="shared" si="119"/>
        <v>no gunners</v>
      </c>
      <c r="U71" s="169" t="str">
        <f t="shared" si="119"/>
        <v>no specialists</v>
      </c>
      <c r="V71" s="169" t="str">
        <f t="shared" si="119"/>
        <v>no flight crew</v>
      </c>
      <c r="W71" s="169" t="str">
        <f t="shared" si="119"/>
        <v>no troops</v>
      </c>
      <c r="X71" s="169"/>
    </row>
    <row r="72" spans="11:32">
      <c r="L72" s="169"/>
      <c r="M72" s="169" t="str">
        <f xml:space="preserve"> IF( AND( SUM( M68:$W68 )&gt;0, SUM(N68:$X68)=0, SUM($L68:L68)&gt;$L68 ), "and ", "" )</f>
        <v/>
      </c>
      <c r="N72" s="169" t="str">
        <f xml:space="preserve"> IF( AND( SUM( N68:$W68 )&gt;0, SUM(O68:$X68)=0, SUM($L68:M68)&gt;$L68 ), "and ", "" )</f>
        <v/>
      </c>
      <c r="O72" s="169" t="str">
        <f xml:space="preserve"> IF( AND( SUM( O68:$W68 )&gt;0, SUM(P68:$X68)=0, SUM($L68:N68)&gt;$L68 ), "and ", "" )</f>
        <v/>
      </c>
      <c r="P72" s="169" t="str">
        <f xml:space="preserve"> IF( AND( SUM( P68:$W68 )&gt;0, SUM(Q68:$X68)=0, SUM($L68:O68)&gt;$L68 ), "and ", "" )</f>
        <v xml:space="preserve">and </v>
      </c>
      <c r="Q72" s="169" t="str">
        <f xml:space="preserve"> IF( AND( SUM( Q68:$W68 )&gt;0, SUM(R68:$X68)=0, SUM($L68:P68)&gt;$L68 ), "and ", "" )</f>
        <v/>
      </c>
      <c r="R72" s="169" t="str">
        <f xml:space="preserve"> IF( AND( SUM( R68:$W68 )&gt;0, SUM(S68:$X68)=0, SUM($L68:Q68)&gt;$L68 ), "and ", "" )</f>
        <v/>
      </c>
      <c r="S72" s="169" t="str">
        <f xml:space="preserve"> IF( AND( SUM( S68:$W68 )&gt;0, SUM(T68:$X68)=0, SUM($L68:R68)&gt;$L68 ), "and ", "" )</f>
        <v/>
      </c>
      <c r="T72" s="169" t="str">
        <f xml:space="preserve"> IF( AND( SUM( T68:$W68 )&gt;0, SUM(U68:$X68)=0, SUM($L68:S68)&gt;$L68 ), "and ", "" )</f>
        <v/>
      </c>
      <c r="U72" s="169" t="str">
        <f xml:space="preserve"> IF( AND( SUM( U68:$W68 )&gt;0, SUM(V68:$X68)=0, SUM($L68:T68)&gt;$L68 ), "and ", "" )</f>
        <v/>
      </c>
      <c r="V72" s="169" t="str">
        <f xml:space="preserve"> IF( AND( SUM( V68:$W68 )&gt;0, SUM(W68:$X68)=0, SUM($L68:U68)&gt;$L68 ), "and ", "" )</f>
        <v/>
      </c>
      <c r="W72" s="169" t="str">
        <f xml:space="preserve"> IF( AND( SUM( W68:$W68 )&gt;0, SUM(X68:$X68)=0, SUM($L68:V68)&gt;$L68 ), "and ", "" )</f>
        <v/>
      </c>
      <c r="X72" s="169"/>
    </row>
    <row r="73" spans="11:32">
      <c r="L73" s="169"/>
      <c r="M73" s="169" t="str">
        <f xml:space="preserve"> IF( SUM( $M68:M68 )&gt;M68, ", ", "" )</f>
        <v/>
      </c>
      <c r="N73" s="169" t="str">
        <f xml:space="preserve"> IF( SUM( $M68:N68 )&gt;N68, ", ", "" )</f>
        <v xml:space="preserve">, </v>
      </c>
      <c r="O73" s="169" t="str">
        <f xml:space="preserve"> IF( SUM( $M68:O68 )&gt;O68, ", ", "" )</f>
        <v xml:space="preserve">, </v>
      </c>
      <c r="P73" s="169" t="str">
        <f xml:space="preserve"> IF( SUM( $M68:P68 )&gt;P68, ", ", "" )</f>
        <v xml:space="preserve">, </v>
      </c>
      <c r="Q73" s="169" t="str">
        <f xml:space="preserve"> IF( SUM( $M68:Q68 )&gt;Q68, ", ", "" )</f>
        <v xml:space="preserve">, </v>
      </c>
      <c r="R73" s="169" t="str">
        <f xml:space="preserve"> IF( SUM( $M68:R68 )&gt;R68, ", ", "" )</f>
        <v xml:space="preserve">, </v>
      </c>
      <c r="S73" s="169" t="str">
        <f xml:space="preserve"> IF( SUM( $M68:S68 )&gt;S68, ", ", "" )</f>
        <v xml:space="preserve">, </v>
      </c>
      <c r="T73" s="169" t="str">
        <f xml:space="preserve"> IF( SUM( $M68:T68 )&gt;T68, ", ", "" )</f>
        <v xml:space="preserve">, </v>
      </c>
      <c r="U73" s="169" t="str">
        <f xml:space="preserve"> IF( SUM( $M68:U68 )&gt;U68, ", ", "" )</f>
        <v xml:space="preserve">, </v>
      </c>
      <c r="V73" s="169" t="str">
        <f xml:space="preserve"> IF( SUM( $M68:V68 )&gt;V68, ", ", "" )</f>
        <v xml:space="preserve">, </v>
      </c>
      <c r="W73" s="169" t="str">
        <f xml:space="preserve"> IF( SUM( $M68:W68 )&gt;W68, ", ", "" )</f>
        <v xml:space="preserve">, </v>
      </c>
      <c r="X73" s="169"/>
    </row>
    <row r="74" spans="11:32">
      <c r="L74" s="169" t="str">
        <f xml:space="preserve"> CONCATENATE( L73 &amp; L72 &amp; L71 )</f>
        <v>three crew</v>
      </c>
      <c r="M74" s="169" t="str">
        <f xml:space="preserve"> CONCATENATE( M73 &amp; M72 &amp; M71 )</f>
        <v>a pilot</v>
      </c>
      <c r="N74" s="169" t="str">
        <f t="shared" ref="N74:W74" si="120" xml:space="preserve"> CONCATENATE( N73 &amp; N72 &amp; N71 )</f>
        <v>, a navigator</v>
      </c>
      <c r="O74" s="169" t="str">
        <f t="shared" si="120"/>
        <v>, no sensor operators</v>
      </c>
      <c r="P74" s="169" t="str">
        <f t="shared" si="120"/>
        <v>, and an engineer</v>
      </c>
      <c r="Q74" s="169" t="str">
        <f t="shared" ref="Q74" si="121" xml:space="preserve"> CONCATENATE( Q73 &amp; Q72 &amp; Q71 )</f>
        <v>, no administrators</v>
      </c>
      <c r="R74" s="169" t="str">
        <f t="shared" ref="R74" si="122" xml:space="preserve"> CONCATENATE( R73 &amp; R72 &amp; R71 )</f>
        <v>, no medics</v>
      </c>
      <c r="S74" s="169" t="str">
        <f t="shared" si="120"/>
        <v>, no stewards</v>
      </c>
      <c r="T74" s="169" t="str">
        <f t="shared" si="120"/>
        <v>, no gunners</v>
      </c>
      <c r="U74" s="169" t="str">
        <f t="shared" si="120"/>
        <v>, no specialists</v>
      </c>
      <c r="V74" s="169" t="str">
        <f t="shared" si="120"/>
        <v>, no flight crew</v>
      </c>
      <c r="W74" s="169" t="str">
        <f t="shared" si="120"/>
        <v>, no troops</v>
      </c>
      <c r="X74" s="169"/>
    </row>
    <row r="75" spans="11:32">
      <c r="K75" s="167" t="str">
        <f>M75</f>
        <v xml:space="preserve">a pilot, a navigator, and an engineer. </v>
      </c>
      <c r="L75" s="169"/>
      <c r="M75" s="169" t="str">
        <f t="shared" ref="M75" si="123" xml:space="preserve"> CONCATENATE( IF( M68&gt;0, M74, "" ) &amp; N75 )</f>
        <v xml:space="preserve">a pilot, a navigator, and an engineer. </v>
      </c>
      <c r="N75" s="169" t="str">
        <f t="shared" ref="N75" si="124" xml:space="preserve"> CONCATENATE( IF( N68&gt;0, N74, "" ) &amp; O75 )</f>
        <v xml:space="preserve">, a navigator, and an engineer. </v>
      </c>
      <c r="O75" s="169" t="str">
        <f t="shared" ref="O75" si="125" xml:space="preserve"> CONCATENATE( IF( O68&gt;0, O74, "" ) &amp; P75 )</f>
        <v xml:space="preserve">, and an engineer. </v>
      </c>
      <c r="P75" s="169" t="str">
        <f t="shared" ref="P75" si="126" xml:space="preserve"> CONCATENATE( IF( P68&gt;0, P74, "" ) &amp; Q75 )</f>
        <v xml:space="preserve">, and an engineer. </v>
      </c>
      <c r="Q75" s="169" t="str">
        <f t="shared" ref="Q75" si="127" xml:space="preserve"> CONCATENATE( IF( Q68&gt;0, Q74, "" ) &amp; R75 )</f>
        <v xml:space="preserve">. </v>
      </c>
      <c r="R75" s="169" t="str">
        <f t="shared" ref="R75" si="128" xml:space="preserve"> CONCATENATE( IF( R68&gt;0, R74, "" ) &amp; S75 )</f>
        <v xml:space="preserve">. </v>
      </c>
      <c r="S75" s="169" t="str">
        <f t="shared" ref="S75" si="129" xml:space="preserve"> CONCATENATE( IF( S68&gt;0, S74, "" ) &amp; T75 )</f>
        <v xml:space="preserve">. </v>
      </c>
      <c r="T75" s="169" t="str">
        <f t="shared" ref="T75" si="130" xml:space="preserve"> CONCATENATE( IF( T68&gt;0, T74, "" ) &amp; U75 )</f>
        <v xml:space="preserve">. </v>
      </c>
      <c r="U75" s="169" t="str">
        <f t="shared" ref="U75" si="131" xml:space="preserve"> CONCATENATE( IF( U68&gt;0, U74, "" ) &amp; V75 )</f>
        <v xml:space="preserve">. </v>
      </c>
      <c r="V75" s="169" t="str">
        <f t="shared" ref="V75" si="132" xml:space="preserve"> CONCATENATE( IF( V68&gt;0, V74, "" ) &amp; W75 )</f>
        <v xml:space="preserve">. </v>
      </c>
      <c r="W75" s="169" t="str">
        <f t="shared" ref="W75" si="133" xml:space="preserve"> CONCATENATE( IF( W68&gt;0, W74, "" ) &amp; X75 )</f>
        <v xml:space="preserve">. </v>
      </c>
      <c r="X75" s="169" t="str">
        <f>". "</f>
        <v xml:space="preserve">. </v>
      </c>
    </row>
    <row r="77" spans="11:32">
      <c r="L77" s="167">
        <v>1</v>
      </c>
      <c r="M77" s="167">
        <f>L77+1</f>
        <v>2</v>
      </c>
      <c r="N77" s="167">
        <f t="shared" ref="N77:AE77" si="134">M77+1</f>
        <v>3</v>
      </c>
      <c r="O77" s="167">
        <f t="shared" si="134"/>
        <v>4</v>
      </c>
      <c r="P77" s="167">
        <f t="shared" si="134"/>
        <v>5</v>
      </c>
      <c r="Q77" s="167">
        <f t="shared" si="134"/>
        <v>6</v>
      </c>
      <c r="R77" s="167">
        <f t="shared" si="134"/>
        <v>7</v>
      </c>
      <c r="S77" s="167">
        <f t="shared" si="134"/>
        <v>8</v>
      </c>
      <c r="T77" s="167">
        <f t="shared" si="134"/>
        <v>9</v>
      </c>
      <c r="U77" s="167">
        <f t="shared" si="134"/>
        <v>10</v>
      </c>
      <c r="V77" s="167">
        <f t="shared" si="134"/>
        <v>11</v>
      </c>
      <c r="W77" s="167">
        <f t="shared" si="134"/>
        <v>12</v>
      </c>
      <c r="X77" s="167">
        <f t="shared" si="134"/>
        <v>13</v>
      </c>
      <c r="Y77" s="167">
        <f t="shared" si="134"/>
        <v>14</v>
      </c>
      <c r="Z77" s="167">
        <f t="shared" si="134"/>
        <v>15</v>
      </c>
      <c r="AA77" s="167">
        <f t="shared" si="134"/>
        <v>16</v>
      </c>
      <c r="AB77" s="167">
        <f t="shared" si="134"/>
        <v>17</v>
      </c>
      <c r="AC77" s="167">
        <f t="shared" si="134"/>
        <v>18</v>
      </c>
      <c r="AD77" s="167">
        <f t="shared" si="134"/>
        <v>19</v>
      </c>
      <c r="AE77" s="167">
        <f t="shared" si="134"/>
        <v>20</v>
      </c>
    </row>
    <row r="78" spans="11:32">
      <c r="K78" s="167" t="s">
        <v>376</v>
      </c>
      <c r="L78" s="169" t="s">
        <v>523</v>
      </c>
      <c r="M78" s="169" t="str">
        <f xml:space="preserve"> IFERROR( IF(  INDEX( Ship!$A$98:$Q$109, M77, 11 )&gt;0,  T( INDEX( Ship!$A$98:$Q$109, M77, 16 ) ),  ""  ), "None" )</f>
        <v/>
      </c>
      <c r="N78" s="169" t="str">
        <f xml:space="preserve"> IFERROR( IF(  INDEX( Ship!$A$98:$Q$109, N77, 11 )&gt;0,  T( INDEX( Ship!$A$98:$Q$109, N77, 16 ) ),  ""  ), "None" )</f>
        <v/>
      </c>
      <c r="O78" s="169" t="str">
        <f xml:space="preserve"> IFERROR( IF(  INDEX( Ship!$A$98:$Q$109, O77, 11 )&gt;0,  T( INDEX( Ship!$A$98:$Q$109, O77, 16 ) ),  ""  ), "None" )</f>
        <v/>
      </c>
      <c r="P78" s="169" t="str">
        <f xml:space="preserve"> IFERROR( IF(  INDEX( Ship!$A$98:$Q$109, P77, 11 )&gt;0,  T( INDEX( Ship!$A$98:$Q$109, P77, 16 ) ),  ""  ), "None" )</f>
        <v/>
      </c>
      <c r="Q78" s="169" t="str">
        <f xml:space="preserve"> IFERROR( IF(  INDEX( Ship!$A$98:$Q$109, Q77, 11 )&gt;0,  T( INDEX( Ship!$A$98:$Q$109, Q77, 16 ) ),  ""  ), "None" )</f>
        <v/>
      </c>
      <c r="R78" s="169" t="str">
        <f xml:space="preserve"> IFERROR( IF(  INDEX( Ship!$A$98:$Q$109, R77, 11 )&gt;0,  T( INDEX( Ship!$A$98:$Q$109, R77, 16 ) ),  ""  ), "None" )</f>
        <v/>
      </c>
      <c r="S78" s="169" t="str">
        <f xml:space="preserve"> IFERROR( IF(  INDEX( Ship!$A$98:$Q$109, S77, 11 )&gt;0,  T( INDEX( Ship!$A$98:$Q$109, S77, 16 ) ),  ""  ), "None" )</f>
        <v/>
      </c>
      <c r="T78" s="169" t="str">
        <f xml:space="preserve"> IFERROR( IF(  INDEX( Ship!$A$98:$Q$109, T77, 11 )&gt;0,  T( INDEX( Ship!$A$98:$Q$109, T77, 16 ) ),  ""  ), "None" )</f>
        <v/>
      </c>
      <c r="U78" s="169" t="str">
        <f xml:space="preserve"> IFERROR( IF(  INDEX( Ship!$A$98:$Q$109, U77, 11 )&gt;0,  T( INDEX( Ship!$A$98:$Q$109, U77, 16 ) ),  ""  ), "None" )</f>
        <v/>
      </c>
      <c r="V78" s="169" t="str">
        <f xml:space="preserve"> IFERROR( IF(  INDEX( Ship!$A$98:$Q$109, V77, 11 )&gt;0,  T( INDEX( Ship!$A$98:$Q$109, V77, 16 ) ),  ""  ), "None" )</f>
        <v/>
      </c>
      <c r="W78" s="169" t="str">
        <f xml:space="preserve"> IFERROR( IF(  INDEX( Ship!$A$98:$Q$109, W77, 11 )&gt;0,  T( INDEX( Ship!$A$98:$Q$109, W77, 16 ) ),  ""  ), "None" )</f>
        <v/>
      </c>
      <c r="X78" s="169" t="str">
        <f xml:space="preserve"> IFERROR( IF(  INDEX( Ship!$A$98:$Q$109, X77, 11 )&gt;0,  T( INDEX( Ship!$A$98:$Q$109, X77, 16 ) ),  ""  ), "None" )</f>
        <v>None</v>
      </c>
      <c r="Y78" s="169" t="str">
        <f xml:space="preserve"> IFERROR( IF(  INDEX( Ship!$A$98:$Q$109, Y77, 11 )&gt;0,  T( INDEX( Ship!$A$98:$Q$109, Y77, 16 ) ),  ""  ), "None" )</f>
        <v>None</v>
      </c>
      <c r="Z78" s="169" t="str">
        <f xml:space="preserve"> IFERROR( IF(  INDEX( Ship!$A$98:$Q$109, Z77, 11 )&gt;0,  T( INDEX( Ship!$A$98:$Q$109, Z77, 16 ) ),  ""  ), "None" )</f>
        <v>None</v>
      </c>
      <c r="AA78" s="169" t="str">
        <f xml:space="preserve"> IFERROR( IF(  INDEX( Ship!$A$98:$Q$109, AA77, 11 )&gt;0,  T( INDEX( Ship!$A$98:$Q$109, AA77, 16 ) ),  ""  ), "None" )</f>
        <v>None</v>
      </c>
      <c r="AB78" s="169" t="str">
        <f xml:space="preserve"> IFERROR( IF(  INDEX( Ship!$A$98:$Q$109, AB77, 11 )&gt;0,  T( INDEX( Ship!$A$98:$Q$109, AB77, 16 ) ),  ""  ), "None" )</f>
        <v>None</v>
      </c>
      <c r="AC78" s="169" t="str">
        <f xml:space="preserve"> IFERROR( IF(  INDEX( Ship!$A$98:$Q$109, AC77, 11 )&gt;0,  T( INDEX( Ship!$A$98:$Q$109, AC77, 16 ) ),  ""  ), "None" )</f>
        <v>None</v>
      </c>
      <c r="AD78" s="169" t="str">
        <f xml:space="preserve"> IFERROR( IF(  INDEX( Ship!$A$98:$Q$109, AD77, 11 )&gt;0,  T( INDEX( Ship!$A$98:$Q$109, AD77, 16 ) ),  ""  ), "None" )</f>
        <v>None</v>
      </c>
      <c r="AE78" s="169" t="str">
        <f xml:space="preserve"> IFERROR( IF(  INDEX( Ship!$A$98:$Q$109, AE77, 11 )&gt;0,  T( INDEX( Ship!$A$98:$Q$109, AE77, 16 ) ),  ""  ), "None" )</f>
        <v>None</v>
      </c>
      <c r="AF78" s="169"/>
    </row>
    <row r="79" spans="11:32">
      <c r="L79" s="173" t="str">
        <f xml:space="preserve"> IF( IFERROR( SEARCH( LOWER( LEFT( L78, 1 ) ), vowels ), 0 )&gt;0, "an", "a" )</f>
        <v>a</v>
      </c>
      <c r="M79" s="173" t="str">
        <f t="shared" ref="M79" si="135" xml:space="preserve"> IF( IFERROR( SEARCH( LOWER( LEFT( M78, 1 ) ), vowels ), 0 )&gt;0, "an", "a" )</f>
        <v>an</v>
      </c>
      <c r="N79" s="173" t="str">
        <f t="shared" ref="N79" si="136" xml:space="preserve"> IF( IFERROR( SEARCH( LOWER( LEFT( N78, 1 ) ), vowels ), 0 )&gt;0, "an", "a" )</f>
        <v>an</v>
      </c>
      <c r="O79" s="173" t="str">
        <f t="shared" ref="O79" si="137" xml:space="preserve"> IF( IFERROR( SEARCH( LOWER( LEFT( O78, 1 ) ), vowels ), 0 )&gt;0, "an", "a" )</f>
        <v>an</v>
      </c>
      <c r="P79" s="173" t="str">
        <f t="shared" ref="P79" si="138" xml:space="preserve"> IF( IFERROR( SEARCH( LOWER( LEFT( P78, 1 ) ), vowels ), 0 )&gt;0, "an", "a" )</f>
        <v>an</v>
      </c>
      <c r="Q79" s="173" t="str">
        <f t="shared" ref="Q79" si="139" xml:space="preserve"> IF( IFERROR( SEARCH( LOWER( LEFT( Q78, 1 ) ), vowels ), 0 )&gt;0, "an", "a" )</f>
        <v>an</v>
      </c>
      <c r="R79" s="173" t="str">
        <f t="shared" ref="R79" si="140" xml:space="preserve"> IF( IFERROR( SEARCH( LOWER( LEFT( R78, 1 ) ), vowels ), 0 )&gt;0, "an", "a" )</f>
        <v>an</v>
      </c>
      <c r="S79" s="173" t="str">
        <f t="shared" ref="S79" si="141" xml:space="preserve"> IF( IFERROR( SEARCH( LOWER( LEFT( S78, 1 ) ), vowels ), 0 )&gt;0, "an", "a" )</f>
        <v>an</v>
      </c>
      <c r="T79" s="173" t="str">
        <f t="shared" ref="T79" si="142" xml:space="preserve"> IF( IFERROR( SEARCH( LOWER( LEFT( T78, 1 ) ), vowels ), 0 )&gt;0, "an", "a" )</f>
        <v>an</v>
      </c>
      <c r="U79" s="173" t="str">
        <f t="shared" ref="U79" si="143" xml:space="preserve"> IF( IFERROR( SEARCH( LOWER( LEFT( U78, 1 ) ), vowels ), 0 )&gt;0, "an", "a" )</f>
        <v>an</v>
      </c>
      <c r="V79" s="173" t="str">
        <f t="shared" ref="V79" si="144" xml:space="preserve"> IF( IFERROR( SEARCH( LOWER( LEFT( V78, 1 ) ), vowels ), 0 )&gt;0, "an", "a" )</f>
        <v>an</v>
      </c>
      <c r="W79" s="173" t="str">
        <f t="shared" ref="W79" si="145" xml:space="preserve"> IF( IFERROR( SEARCH( LOWER( LEFT( W78, 1 ) ), vowels ), 0 )&gt;0, "an", "a" )</f>
        <v>an</v>
      </c>
      <c r="X79" s="173" t="str">
        <f t="shared" ref="X79" si="146" xml:space="preserve"> IF( IFERROR( SEARCH( LOWER( LEFT( X78, 1 ) ), vowels ), 0 )&gt;0, "an", "a" )</f>
        <v>a</v>
      </c>
      <c r="Y79" s="173" t="str">
        <f t="shared" ref="Y79" si="147" xml:space="preserve"> IF( IFERROR( SEARCH( LOWER( LEFT( Y78, 1 ) ), vowels ), 0 )&gt;0, "an", "a" )</f>
        <v>a</v>
      </c>
      <c r="Z79" s="173" t="str">
        <f t="shared" ref="Z79" si="148" xml:space="preserve"> IF( IFERROR( SEARCH( LOWER( LEFT( Z78, 1 ) ), vowels ), 0 )&gt;0, "an", "a" )</f>
        <v>a</v>
      </c>
      <c r="AA79" s="173" t="str">
        <f t="shared" ref="AA79" si="149" xml:space="preserve"> IF( IFERROR( SEARCH( LOWER( LEFT( AA78, 1 ) ), vowels ), 0 )&gt;0, "an", "a" )</f>
        <v>a</v>
      </c>
      <c r="AB79" s="173" t="str">
        <f t="shared" ref="AB79" si="150" xml:space="preserve"> IF( IFERROR( SEARCH( LOWER( LEFT( AB78, 1 ) ), vowels ), 0 )&gt;0, "an", "a" )</f>
        <v>a</v>
      </c>
      <c r="AC79" s="173" t="str">
        <f t="shared" ref="AC79" si="151" xml:space="preserve"> IF( IFERROR( SEARCH( LOWER( LEFT( AC78, 1 ) ), vowels ), 0 )&gt;0, "an", "a" )</f>
        <v>a</v>
      </c>
      <c r="AD79" s="173" t="str">
        <f t="shared" ref="AD79" si="152" xml:space="preserve"> IF( IFERROR( SEARCH( LOWER( LEFT( AD78, 1 ) ), vowels ), 0 )&gt;0, "an", "a" )</f>
        <v>a</v>
      </c>
      <c r="AE79" s="173" t="str">
        <f t="shared" ref="AE79" si="153" xml:space="preserve"> IF( IFERROR( SEARCH( LOWER( LEFT( AE78, 1 ) ), vowels ), 0 )&gt;0, "an", "a" )</f>
        <v>a</v>
      </c>
      <c r="AF79" s="169"/>
    </row>
    <row r="80" spans="11:32">
      <c r="L80" s="173" t="s">
        <v>720</v>
      </c>
      <c r="M80" s="173" t="str">
        <f>""</f>
        <v/>
      </c>
      <c r="N80" s="173" t="str">
        <f>""</f>
        <v/>
      </c>
      <c r="O80" s="173" t="str">
        <f>""</f>
        <v/>
      </c>
      <c r="P80" s="173" t="str">
        <f>""</f>
        <v/>
      </c>
      <c r="Q80" s="173" t="str">
        <f>""</f>
        <v/>
      </c>
      <c r="R80" s="173" t="str">
        <f>""</f>
        <v/>
      </c>
      <c r="S80" s="173" t="str">
        <f>""</f>
        <v/>
      </c>
      <c r="T80" s="173" t="str">
        <f>""</f>
        <v/>
      </c>
      <c r="U80" s="173" t="str">
        <f>""</f>
        <v/>
      </c>
      <c r="V80" s="173" t="str">
        <f>""</f>
        <v/>
      </c>
      <c r="W80" s="173" t="str">
        <f>""</f>
        <v/>
      </c>
      <c r="X80" s="173" t="str">
        <f>""</f>
        <v/>
      </c>
      <c r="Y80" s="173" t="str">
        <f>""</f>
        <v/>
      </c>
      <c r="Z80" s="173" t="str">
        <f>""</f>
        <v/>
      </c>
      <c r="AA80" s="173" t="str">
        <f>""</f>
        <v/>
      </c>
      <c r="AB80" s="173" t="str">
        <f>""</f>
        <v/>
      </c>
      <c r="AC80" s="173" t="str">
        <f>""</f>
        <v/>
      </c>
      <c r="AD80" s="173" t="str">
        <f>""</f>
        <v/>
      </c>
      <c r="AE80" s="173" t="str">
        <f>""</f>
        <v/>
      </c>
      <c r="AF80" s="169"/>
    </row>
    <row r="81" spans="11:32">
      <c r="L81" s="169">
        <f xml:space="preserve"> SUM( M81:AE81 )</f>
        <v>0</v>
      </c>
      <c r="M81" s="169">
        <f xml:space="preserve"> IFERROR( IF(  INDEX( Ship!$A$98:$Q$109, M77, 11 )&gt;0,  INDEX( Ship!$A$98:$Q$109, M77, 10 ),  0  ), 0 )</f>
        <v>0</v>
      </c>
      <c r="N81" s="169">
        <f xml:space="preserve"> IFERROR( IF(  INDEX( Ship!$A$98:$Q$109, N77, 11 )&gt;0,  INDEX( Ship!$A$98:$Q$109, N77, 10 ),  0  ), 0 )</f>
        <v>0</v>
      </c>
      <c r="O81" s="169">
        <f xml:space="preserve"> IFERROR( IF(  INDEX( Ship!$A$98:$Q$109, O77, 11 )&gt;0,  INDEX( Ship!$A$98:$Q$109, O77, 10 ),  0  ), 0 )</f>
        <v>0</v>
      </c>
      <c r="P81" s="169">
        <f xml:space="preserve"> IFERROR( IF(  INDEX( Ship!$A$98:$Q$109, P77, 11 )&gt;0,  INDEX( Ship!$A$98:$Q$109, P77, 10 ),  0  ), 0 )</f>
        <v>0</v>
      </c>
      <c r="Q81" s="169">
        <f xml:space="preserve"> IFERROR( IF(  INDEX( Ship!$A$98:$Q$109, Q77, 11 )&gt;0,  INDEX( Ship!$A$98:$Q$109, Q77, 10 ),  0  ), 0 )</f>
        <v>0</v>
      </c>
      <c r="R81" s="169">
        <f xml:space="preserve"> IFERROR( IF(  INDEX( Ship!$A$98:$Q$109, R77, 11 )&gt;0,  INDEX( Ship!$A$98:$Q$109, R77, 10 ),  0  ), 0 )</f>
        <v>0</v>
      </c>
      <c r="S81" s="169">
        <f xml:space="preserve"> IFERROR( IF(  INDEX( Ship!$A$98:$Q$109, S77, 11 )&gt;0,  INDEX( Ship!$A$98:$Q$109, S77, 10 ),  0  ), 0 )</f>
        <v>0</v>
      </c>
      <c r="T81" s="169">
        <f xml:space="preserve"> IFERROR( IF(  INDEX( Ship!$A$98:$Q$109, T77, 11 )&gt;0,  INDEX( Ship!$A$98:$Q$109, T77, 10 ),  0  ), 0 )</f>
        <v>0</v>
      </c>
      <c r="U81" s="169">
        <f xml:space="preserve"> IFERROR( IF(  INDEX( Ship!$A$98:$Q$109, U77, 11 )&gt;0,  INDEX( Ship!$A$98:$Q$109, U77, 10 ),  0  ), 0 )</f>
        <v>0</v>
      </c>
      <c r="V81" s="169">
        <f xml:space="preserve"> IFERROR( IF(  INDEX( Ship!$A$98:$Q$109, V77, 11 )&gt;0,  INDEX( Ship!$A$98:$Q$109, V77, 10 ),  0  ), 0 )</f>
        <v>0</v>
      </c>
      <c r="W81" s="169">
        <f xml:space="preserve"> IFERROR( IF(  INDEX( Ship!$A$98:$Q$109, W77, 11 )&gt;0,  INDEX( Ship!$A$98:$Q$109, W77, 10 ),  0  ), 0 )</f>
        <v>0</v>
      </c>
      <c r="X81" s="169">
        <f xml:space="preserve"> IFERROR( IF(  INDEX( Ship!$A$98:$Q$109, X77, 11 )&gt;0,  INDEX( Ship!$A$98:$Q$109, X77, 10 ),  0  ), 0 )</f>
        <v>0</v>
      </c>
      <c r="Y81" s="169">
        <f xml:space="preserve"> IFERROR( IF(  INDEX( Ship!$A$98:$Q$109, Y77, 11 )&gt;0,  INDEX( Ship!$A$98:$Q$109, Y77, 10 ),  0  ), 0 )</f>
        <v>0</v>
      </c>
      <c r="Z81" s="169">
        <f xml:space="preserve"> IFERROR( IF(  INDEX( Ship!$A$98:$Q$109, Z77, 11 )&gt;0,  INDEX( Ship!$A$98:$Q$109, Z77, 10 ),  0  ), 0 )</f>
        <v>0</v>
      </c>
      <c r="AA81" s="169">
        <f xml:space="preserve"> IFERROR( IF(  INDEX( Ship!$A$98:$Q$109, AA77, 11 )&gt;0,  INDEX( Ship!$A$98:$Q$109, AA77, 10 ),  0  ), 0 )</f>
        <v>0</v>
      </c>
      <c r="AB81" s="169">
        <f xml:space="preserve"> IFERROR( IF(  INDEX( Ship!$A$98:$Q$109, AB77, 11 )&gt;0,  INDEX( Ship!$A$98:$Q$109, AB77, 10 ),  0  ), 0 )</f>
        <v>0</v>
      </c>
      <c r="AC81" s="169">
        <f xml:space="preserve"> IFERROR( IF(  INDEX( Ship!$A$98:$Q$109, AC77, 11 )&gt;0,  INDEX( Ship!$A$98:$Q$109, AC77, 10 ),  0  ), 0 )</f>
        <v>0</v>
      </c>
      <c r="AD81" s="169">
        <f xml:space="preserve"> IFERROR( IF(  INDEX( Ship!$A$98:$Q$109, AD77, 11 )&gt;0,  INDEX( Ship!$A$98:$Q$109, AD77, 10 ),  0  ), 0 )</f>
        <v>0</v>
      </c>
      <c r="AE81" s="169">
        <f xml:space="preserve"> IFERROR( IF(  INDEX( Ship!$A$98:$Q$109, AE77, 11 )&gt;0,  INDEX( Ship!$A$98:$Q$109, AE77, 10 ),  0  ), 0 )</f>
        <v>0</v>
      </c>
      <c r="AF81" s="169"/>
    </row>
    <row r="82" spans="11:32">
      <c r="L82" s="173" t="str">
        <f xml:space="preserve"> IF( L81=0, "no", IF( L81=1, L79, IF( L81&lt;=12, VLOOKUP( L81, Tables!$B$2:$D$36, 3 ), L81 ) ) )</f>
        <v>no</v>
      </c>
      <c r="M82" s="173" t="str">
        <f xml:space="preserve"> IF( M81=0, "no", IF( M81=1, M79, IF( M81&lt;=12, VLOOKUP( M81, Tables!$B$2:$D$36, 3 ), M81 ) ) )</f>
        <v>no</v>
      </c>
      <c r="N82" s="173" t="str">
        <f xml:space="preserve"> IF( N81=0, "no", IF( N81=1, N79, IF( N81&lt;=12, VLOOKUP( N81, Tables!$B$2:$D$36, 3 ), N81 ) ) )</f>
        <v>no</v>
      </c>
      <c r="O82" s="173" t="str">
        <f xml:space="preserve"> IF( O81=0, "no", IF( O81=1, O79, IF( O81&lt;=12, VLOOKUP( O81, Tables!$B$2:$D$36, 3 ), O81 ) ) )</f>
        <v>no</v>
      </c>
      <c r="P82" s="173" t="str">
        <f xml:space="preserve"> IF( P81=0, "no", IF( P81=1, P79, IF( P81&lt;=12, VLOOKUP( P81, Tables!$B$2:$D$36, 3 ), P81 ) ) )</f>
        <v>no</v>
      </c>
      <c r="Q82" s="173" t="str">
        <f xml:space="preserve"> IF( Q81=0, "no", IF( Q81=1, Q79, IF( Q81&lt;=12, VLOOKUP( Q81, Tables!$B$2:$D$36, 3 ), Q81 ) ) )</f>
        <v>no</v>
      </c>
      <c r="R82" s="173" t="str">
        <f xml:space="preserve"> IF( R81=0, "no", IF( R81=1, R79, IF( R81&lt;=12, VLOOKUP( R81, Tables!$B$2:$D$36, 3 ), R81 ) ) )</f>
        <v>no</v>
      </c>
      <c r="S82" s="173" t="str">
        <f xml:space="preserve"> IF( S81=0, "no", IF( S81=1, S79, IF( S81&lt;=12, VLOOKUP( S81, Tables!$B$2:$D$36, 3 ), S81 ) ) )</f>
        <v>no</v>
      </c>
      <c r="T82" s="173" t="str">
        <f xml:space="preserve"> IF( T81=0, "no", IF( T81=1, T79, IF( T81&lt;=12, VLOOKUP( T81, Tables!$B$2:$D$36, 3 ), T81 ) ) )</f>
        <v>no</v>
      </c>
      <c r="U82" s="173" t="str">
        <f xml:space="preserve"> IF( U81=0, "no", IF( U81=1, U79, IF( U81&lt;=12, VLOOKUP( U81, Tables!$B$2:$D$36, 3 ), U81 ) ) )</f>
        <v>no</v>
      </c>
      <c r="V82" s="173" t="str">
        <f xml:space="preserve"> IF( V81=0, "no", IF( V81=1, V79, IF( V81&lt;=12, VLOOKUP( V81, Tables!$B$2:$D$36, 3 ), V81 ) ) )</f>
        <v>no</v>
      </c>
      <c r="W82" s="173" t="str">
        <f xml:space="preserve"> IF( W81=0, "no", IF( W81=1, W79, IF( W81&lt;=12, VLOOKUP( W81, Tables!$B$2:$D$36, 3 ), W81 ) ) )</f>
        <v>no</v>
      </c>
      <c r="X82" s="173" t="str">
        <f xml:space="preserve"> IF( X81=0, "no", IF( X81=1, X79, IF( X81&lt;=12, VLOOKUP( X81, Tables!$B$2:$D$36, 3 ), X81 ) ) )</f>
        <v>no</v>
      </c>
      <c r="Y82" s="173" t="str">
        <f xml:space="preserve"> IF( Y81=0, "no", IF( Y81=1, Y79, IF( Y81&lt;=12, VLOOKUP( Y81, Tables!$B$2:$D$36, 3 ), Y81 ) ) )</f>
        <v>no</v>
      </c>
      <c r="Z82" s="173" t="str">
        <f xml:space="preserve"> IF( Z81=0, "no", IF( Z81=1, Z79, IF( Z81&lt;=12, VLOOKUP( Z81, Tables!$B$2:$D$36, 3 ), Z81 ) ) )</f>
        <v>no</v>
      </c>
      <c r="AA82" s="173" t="str">
        <f xml:space="preserve"> IF( AA81=0, "no", IF( AA81=1, AA79, IF( AA81&lt;=12, VLOOKUP( AA81, Tables!$B$2:$D$36, 3 ), AA81 ) ) )</f>
        <v>no</v>
      </c>
      <c r="AB82" s="173" t="str">
        <f xml:space="preserve"> IF( AB81=0, "no", IF( AB81=1, AB79, IF( AB81&lt;=12, VLOOKUP( AB81, Tables!$B$2:$D$36, 3 ), AB81 ) ) )</f>
        <v>no</v>
      </c>
      <c r="AC82" s="173" t="str">
        <f xml:space="preserve"> IF( AC81=0, "no", IF( AC81=1, AC79, IF( AC81&lt;=12, VLOOKUP( AC81, Tables!$B$2:$D$36, 3 ), AC81 ) ) )</f>
        <v>no</v>
      </c>
      <c r="AD82" s="173" t="str">
        <f xml:space="preserve"> IF( AD81=0, "no", IF( AD81=1, AD79, IF( AD81&lt;=12, VLOOKUP( AD81, Tables!$B$2:$D$36, 3 ), AD81 ) ) )</f>
        <v>no</v>
      </c>
      <c r="AE82" s="173" t="str">
        <f xml:space="preserve"> IF( AE81=0, "no", IF( AE81=1, AE79, IF( AE81&lt;=12, VLOOKUP( AE81, Tables!$B$2:$D$36, 3 ), AE81 ) ) )</f>
        <v>no</v>
      </c>
      <c r="AF82" s="169"/>
    </row>
    <row r="83" spans="11:32">
      <c r="L83" s="173" t="str">
        <f xml:space="preserve"> IF( L81&lt;&gt;1, T(L80), "" )</f>
        <v>s</v>
      </c>
      <c r="M83" s="173" t="str">
        <f t="shared" ref="M83" si="154" xml:space="preserve"> IF( M81&lt;&gt;1, T(M80), "" )</f>
        <v/>
      </c>
      <c r="N83" s="173" t="str">
        <f t="shared" ref="N83:AE83" si="155" xml:space="preserve"> IF( N81&lt;&gt;1, T(N80), "" )</f>
        <v/>
      </c>
      <c r="O83" s="173" t="str">
        <f t="shared" si="155"/>
        <v/>
      </c>
      <c r="P83" s="173" t="str">
        <f t="shared" si="155"/>
        <v/>
      </c>
      <c r="Q83" s="173" t="str">
        <f t="shared" si="155"/>
        <v/>
      </c>
      <c r="R83" s="173" t="str">
        <f t="shared" si="155"/>
        <v/>
      </c>
      <c r="S83" s="173" t="str">
        <f t="shared" si="155"/>
        <v/>
      </c>
      <c r="T83" s="173" t="str">
        <f t="shared" si="155"/>
        <v/>
      </c>
      <c r="U83" s="173" t="str">
        <f t="shared" si="155"/>
        <v/>
      </c>
      <c r="V83" s="173" t="str">
        <f t="shared" si="155"/>
        <v/>
      </c>
      <c r="W83" s="173" t="str">
        <f t="shared" si="155"/>
        <v/>
      </c>
      <c r="X83" s="173" t="str">
        <f t="shared" si="155"/>
        <v/>
      </c>
      <c r="Y83" s="173" t="str">
        <f t="shared" si="155"/>
        <v/>
      </c>
      <c r="Z83" s="173" t="str">
        <f t="shared" si="155"/>
        <v/>
      </c>
      <c r="AA83" s="173" t="str">
        <f t="shared" si="155"/>
        <v/>
      </c>
      <c r="AB83" s="173" t="str">
        <f t="shared" si="155"/>
        <v/>
      </c>
      <c r="AC83" s="173" t="str">
        <f t="shared" si="155"/>
        <v/>
      </c>
      <c r="AD83" s="173" t="str">
        <f t="shared" si="155"/>
        <v/>
      </c>
      <c r="AE83" s="173" t="str">
        <f t="shared" si="155"/>
        <v/>
      </c>
      <c r="AF83" s="169"/>
    </row>
    <row r="84" spans="11:32">
      <c r="L84" s="169" t="str">
        <f xml:space="preserve"> CONCATENATE( L82 &amp; " " &amp; L78 &amp; L83 )</f>
        <v>no weapons</v>
      </c>
      <c r="M84" s="169" t="str">
        <f xml:space="preserve"> CONCATENATE( M82 &amp; " " &amp; M78 &amp; M83 )</f>
        <v xml:space="preserve">no </v>
      </c>
      <c r="N84" s="169" t="str">
        <f t="shared" ref="N84:AE84" si="156" xml:space="preserve"> CONCATENATE( N82 &amp; " " &amp; N78 &amp; N83 )</f>
        <v xml:space="preserve">no </v>
      </c>
      <c r="O84" s="169" t="str">
        <f t="shared" si="156"/>
        <v xml:space="preserve">no </v>
      </c>
      <c r="P84" s="169" t="str">
        <f t="shared" si="156"/>
        <v xml:space="preserve">no </v>
      </c>
      <c r="Q84" s="169" t="str">
        <f t="shared" si="156"/>
        <v xml:space="preserve">no </v>
      </c>
      <c r="R84" s="169" t="str">
        <f t="shared" si="156"/>
        <v xml:space="preserve">no </v>
      </c>
      <c r="S84" s="169" t="str">
        <f t="shared" si="156"/>
        <v xml:space="preserve">no </v>
      </c>
      <c r="T84" s="169" t="str">
        <f t="shared" si="156"/>
        <v xml:space="preserve">no </v>
      </c>
      <c r="U84" s="169" t="str">
        <f t="shared" si="156"/>
        <v xml:space="preserve">no </v>
      </c>
      <c r="V84" s="169" t="str">
        <f t="shared" si="156"/>
        <v xml:space="preserve">no </v>
      </c>
      <c r="W84" s="169" t="str">
        <f t="shared" si="156"/>
        <v xml:space="preserve">no </v>
      </c>
      <c r="X84" s="169" t="str">
        <f t="shared" si="156"/>
        <v>no None</v>
      </c>
      <c r="Y84" s="169" t="str">
        <f t="shared" si="156"/>
        <v>no None</v>
      </c>
      <c r="Z84" s="169" t="str">
        <f t="shared" si="156"/>
        <v>no None</v>
      </c>
      <c r="AA84" s="169" t="str">
        <f t="shared" si="156"/>
        <v>no None</v>
      </c>
      <c r="AB84" s="169" t="str">
        <f t="shared" si="156"/>
        <v>no None</v>
      </c>
      <c r="AC84" s="169" t="str">
        <f t="shared" si="156"/>
        <v>no None</v>
      </c>
      <c r="AD84" s="169" t="str">
        <f t="shared" si="156"/>
        <v>no None</v>
      </c>
      <c r="AE84" s="169" t="str">
        <f t="shared" si="156"/>
        <v>no None</v>
      </c>
      <c r="AF84" s="169"/>
    </row>
    <row r="85" spans="11:32">
      <c r="L85" s="169"/>
      <c r="M85" s="169" t="str">
        <f xml:space="preserve"> IF( AND( SUM( M81:$AE81 )&gt;0, SUM(N81:$AF81)=0, SUM($L81:L81)&gt;$L81 ), "and ", "" )</f>
        <v/>
      </c>
      <c r="N85" s="169" t="str">
        <f xml:space="preserve"> IF( AND( SUM( N81:$AE81 )&gt;0, SUM(O81:$AF81)=0, SUM($L81:M81)&gt;$L81 ), "and ", "" )</f>
        <v/>
      </c>
      <c r="O85" s="169" t="str">
        <f xml:space="preserve"> IF( AND( SUM( O81:$AE81 )&gt;0, SUM(P81:$AF81)=0, SUM($L81:N81)&gt;$L81 ), "and ", "" )</f>
        <v/>
      </c>
      <c r="P85" s="169" t="str">
        <f xml:space="preserve"> IF( AND( SUM( P81:$AE81 )&gt;0, SUM(Q81:$AF81)=0, SUM($L81:O81)&gt;$L81 ), "and ", "" )</f>
        <v/>
      </c>
      <c r="Q85" s="169" t="str">
        <f xml:space="preserve"> IF( AND( SUM( Q81:$AE81 )&gt;0, SUM(R81:$AF81)=0, SUM($L81:P81)&gt;$L81 ), "and ", "" )</f>
        <v/>
      </c>
      <c r="R85" s="169" t="str">
        <f xml:space="preserve"> IF( AND( SUM( R81:$AE81 )&gt;0, SUM(S81:$AF81)=0, SUM($L81:Q81)&gt;$L81 ), "and ", "" )</f>
        <v/>
      </c>
      <c r="S85" s="169" t="str">
        <f xml:space="preserve"> IF( AND( SUM( S81:$AE81 )&gt;0, SUM(T81:$AF81)=0, SUM($L81:R81)&gt;$L81 ), "and ", "" )</f>
        <v/>
      </c>
      <c r="T85" s="169" t="str">
        <f xml:space="preserve"> IF( AND( SUM( T81:$AE81 )&gt;0, SUM(U81:$AF81)=0, SUM($L81:S81)&gt;$L81 ), "and ", "" )</f>
        <v/>
      </c>
      <c r="U85" s="169" t="str">
        <f xml:space="preserve"> IF( AND( SUM( U81:$AE81 )&gt;0, SUM(V81:$AF81)=0, SUM($L81:T81)&gt;$L81 ), "and ", "" )</f>
        <v/>
      </c>
      <c r="V85" s="169" t="str">
        <f xml:space="preserve"> IF( AND( SUM( V81:$AE81 )&gt;0, SUM(W81:$AF81)=0, SUM($L81:U81)&gt;$L81 ), "and ", "" )</f>
        <v/>
      </c>
      <c r="W85" s="169" t="str">
        <f xml:space="preserve"> IF( AND( SUM( W81:$AE81 )&gt;0, SUM(X81:$AF81)=0, SUM($L81:V81)&gt;$L81 ), "and ", "" )</f>
        <v/>
      </c>
      <c r="X85" s="169" t="str">
        <f xml:space="preserve"> IF( AND( SUM( X81:$AE81 )&gt;0, SUM(Y81:$AF81)=0, SUM($L81:W81)&gt;$L81 ), "and ", "" )</f>
        <v/>
      </c>
      <c r="Y85" s="169" t="str">
        <f xml:space="preserve"> IF( AND( SUM( Y81:$AE81 )&gt;0, SUM(Z81:$AF81)=0, SUM($L81:X81)&gt;$L81 ), "and ", "" )</f>
        <v/>
      </c>
      <c r="Z85" s="169" t="str">
        <f xml:space="preserve"> IF( AND( SUM( Z81:$AE81 )&gt;0, SUM(AA81:$AF81)=0, SUM($L81:Y81)&gt;$L81 ), "and ", "" )</f>
        <v/>
      </c>
      <c r="AA85" s="169" t="str">
        <f xml:space="preserve"> IF( AND( SUM( AA81:$AE81 )&gt;0, SUM(AB81:$AF81)=0, SUM($L81:Z81)&gt;$L81 ), "and ", "" )</f>
        <v/>
      </c>
      <c r="AB85" s="169" t="str">
        <f xml:space="preserve"> IF( AND( SUM( AB81:$AE81 )&gt;0, SUM(AC81:$AF81)=0, SUM($L81:AA81)&gt;$L81 ), "and ", "" )</f>
        <v/>
      </c>
      <c r="AC85" s="169" t="str">
        <f xml:space="preserve"> IF( AND( SUM( AC81:$AE81 )&gt;0, SUM(AD81:$AF81)=0, SUM($L81:AB81)&gt;$L81 ), "and ", "" )</f>
        <v/>
      </c>
      <c r="AD85" s="169" t="str">
        <f xml:space="preserve"> IF( AND( SUM( AD81:$AE81 )&gt;0, SUM(AE81:$AF81)=0, SUM($L81:AC81)&gt;$L81 ), "and ", "" )</f>
        <v/>
      </c>
      <c r="AE85" s="169" t="str">
        <f xml:space="preserve"> IF( AND( SUM( AE81:$AE81 )&gt;0, SUM(AF81:$AF81)=0, SUM($L81:AD81)&gt;$L81 ), "and ", "" )</f>
        <v/>
      </c>
      <c r="AF85" s="169"/>
    </row>
    <row r="86" spans="11:32">
      <c r="L86" s="169"/>
      <c r="M86" s="169" t="str">
        <f xml:space="preserve"> IF( SUM( $M81:M81 )&gt;M81, ", ", "" )</f>
        <v/>
      </c>
      <c r="N86" s="169" t="str">
        <f xml:space="preserve"> IF( SUM( $M81:N81 )&gt;N81, ", ", "" )</f>
        <v/>
      </c>
      <c r="O86" s="169" t="str">
        <f xml:space="preserve"> IF( SUM( $M81:O81 )&gt;O81, ", ", "" )</f>
        <v/>
      </c>
      <c r="P86" s="169" t="str">
        <f xml:space="preserve"> IF( SUM( $M81:P81 )&gt;P81, ", ", "" )</f>
        <v/>
      </c>
      <c r="Q86" s="169" t="str">
        <f xml:space="preserve"> IF( SUM( $M81:Q81 )&gt;Q81, ", ", "" )</f>
        <v/>
      </c>
      <c r="R86" s="169" t="str">
        <f xml:space="preserve"> IF( SUM( $M81:R81 )&gt;R81, ", ", "" )</f>
        <v/>
      </c>
      <c r="S86" s="169" t="str">
        <f xml:space="preserve"> IF( SUM( $M81:S81 )&gt;S81, ", ", "" )</f>
        <v/>
      </c>
      <c r="T86" s="169" t="str">
        <f xml:space="preserve"> IF( SUM( $M81:T81 )&gt;T81, ", ", "" )</f>
        <v/>
      </c>
      <c r="U86" s="169" t="str">
        <f xml:space="preserve"> IF( SUM( $M81:U81 )&gt;U81, ", ", "" )</f>
        <v/>
      </c>
      <c r="V86" s="169" t="str">
        <f xml:space="preserve"> IF( SUM( $M81:V81 )&gt;V81, ", ", "" )</f>
        <v/>
      </c>
      <c r="W86" s="169" t="str">
        <f xml:space="preserve"> IF( SUM( $M81:W81 )&gt;W81, ", ", "" )</f>
        <v/>
      </c>
      <c r="X86" s="169" t="str">
        <f xml:space="preserve"> IF( SUM( $M81:X81 )&gt;X81, ", ", "" )</f>
        <v/>
      </c>
      <c r="Y86" s="169" t="str">
        <f xml:space="preserve"> IF( SUM( $M81:Y81 )&gt;Y81, ", ", "" )</f>
        <v/>
      </c>
      <c r="Z86" s="169" t="str">
        <f xml:space="preserve"> IF( SUM( $M81:Z81 )&gt;Z81, ", ", "" )</f>
        <v/>
      </c>
      <c r="AA86" s="169" t="str">
        <f xml:space="preserve"> IF( SUM( $M81:AA81 )&gt;AA81, ", ", "" )</f>
        <v/>
      </c>
      <c r="AB86" s="169" t="str">
        <f xml:space="preserve"> IF( SUM( $M81:AB81 )&gt;AB81, ", ", "" )</f>
        <v/>
      </c>
      <c r="AC86" s="169" t="str">
        <f xml:space="preserve"> IF( SUM( $M81:AC81 )&gt;AC81, ", ", "" )</f>
        <v/>
      </c>
      <c r="AD86" s="169" t="str">
        <f xml:space="preserve"> IF( SUM( $M81:AD81 )&gt;AD81, ", ", "" )</f>
        <v/>
      </c>
      <c r="AE86" s="169" t="str">
        <f xml:space="preserve"> IF( SUM( $M81:AE81 )&gt;AE81, ", ", "" )</f>
        <v/>
      </c>
      <c r="AF86" s="169"/>
    </row>
    <row r="87" spans="11:32">
      <c r="L87" s="169" t="str">
        <f xml:space="preserve"> CONCATENATE( L86 &amp; L85 &amp; L84 )</f>
        <v>no weapons</v>
      </c>
      <c r="M87" s="169" t="str">
        <f xml:space="preserve"> CONCATENATE( M86 &amp; M85 &amp; M84 )</f>
        <v xml:space="preserve">no </v>
      </c>
      <c r="N87" s="169" t="str">
        <f t="shared" ref="N87:AE87" si="157" xml:space="preserve"> CONCATENATE( N86 &amp; N85 &amp; N84 )</f>
        <v xml:space="preserve">no </v>
      </c>
      <c r="O87" s="169" t="str">
        <f t="shared" si="157"/>
        <v xml:space="preserve">no </v>
      </c>
      <c r="P87" s="169" t="str">
        <f t="shared" si="157"/>
        <v xml:space="preserve">no </v>
      </c>
      <c r="Q87" s="169" t="str">
        <f t="shared" si="157"/>
        <v xml:space="preserve">no </v>
      </c>
      <c r="R87" s="169" t="str">
        <f t="shared" si="157"/>
        <v xml:space="preserve">no </v>
      </c>
      <c r="S87" s="169" t="str">
        <f t="shared" si="157"/>
        <v xml:space="preserve">no </v>
      </c>
      <c r="T87" s="169" t="str">
        <f t="shared" si="157"/>
        <v xml:space="preserve">no </v>
      </c>
      <c r="U87" s="169" t="str">
        <f t="shared" si="157"/>
        <v xml:space="preserve">no </v>
      </c>
      <c r="V87" s="169" t="str">
        <f t="shared" si="157"/>
        <v xml:space="preserve">no </v>
      </c>
      <c r="W87" s="169" t="str">
        <f t="shared" si="157"/>
        <v xml:space="preserve">no </v>
      </c>
      <c r="X87" s="169" t="str">
        <f t="shared" si="157"/>
        <v>no None</v>
      </c>
      <c r="Y87" s="169" t="str">
        <f t="shared" si="157"/>
        <v>no None</v>
      </c>
      <c r="Z87" s="169" t="str">
        <f t="shared" si="157"/>
        <v>no None</v>
      </c>
      <c r="AA87" s="169" t="str">
        <f t="shared" si="157"/>
        <v>no None</v>
      </c>
      <c r="AB87" s="169" t="str">
        <f t="shared" si="157"/>
        <v>no None</v>
      </c>
      <c r="AC87" s="169" t="str">
        <f t="shared" si="157"/>
        <v>no None</v>
      </c>
      <c r="AD87" s="169" t="str">
        <f t="shared" si="157"/>
        <v>no None</v>
      </c>
      <c r="AE87" s="169" t="str">
        <f t="shared" si="157"/>
        <v>no None</v>
      </c>
      <c r="AF87" s="169"/>
    </row>
    <row r="88" spans="11:32">
      <c r="K88" s="167" t="str">
        <f>M88</f>
        <v>.</v>
      </c>
      <c r="L88" s="169"/>
      <c r="M88" s="169" t="str">
        <f t="shared" ref="M88" si="158" xml:space="preserve"> CONCATENATE( IF( M81&gt;0, M87, "" ) &amp; N88 )</f>
        <v>.</v>
      </c>
      <c r="N88" s="169" t="str">
        <f t="shared" ref="N88" si="159" xml:space="preserve"> CONCATENATE( IF( N81&gt;0, N87, "" ) &amp; O88 )</f>
        <v>.</v>
      </c>
      <c r="O88" s="169" t="str">
        <f t="shared" ref="O88" si="160" xml:space="preserve"> CONCATENATE( IF( O81&gt;0, O87, "" ) &amp; P88 )</f>
        <v>.</v>
      </c>
      <c r="P88" s="169" t="str">
        <f t="shared" ref="P88" si="161" xml:space="preserve"> CONCATENATE( IF( P81&gt;0, P87, "" ) &amp; Q88 )</f>
        <v>.</v>
      </c>
      <c r="Q88" s="169" t="str">
        <f t="shared" ref="Q88" si="162" xml:space="preserve"> CONCATENATE( IF( Q81&gt;0, Q87, "" ) &amp; R88 )</f>
        <v>.</v>
      </c>
      <c r="R88" s="169" t="str">
        <f t="shared" ref="R88" si="163" xml:space="preserve"> CONCATENATE( IF( R81&gt;0, R87, "" ) &amp; S88 )</f>
        <v>.</v>
      </c>
      <c r="S88" s="169" t="str">
        <f t="shared" ref="S88" si="164" xml:space="preserve"> CONCATENATE( IF( S81&gt;0, S87, "" ) &amp; T88 )</f>
        <v>.</v>
      </c>
      <c r="T88" s="169" t="str">
        <f t="shared" ref="T88" si="165" xml:space="preserve"> CONCATENATE( IF( T81&gt;0, T87, "" ) &amp; U88 )</f>
        <v>.</v>
      </c>
      <c r="U88" s="169" t="str">
        <f t="shared" ref="U88" si="166" xml:space="preserve"> CONCATENATE( IF( U81&gt;0, U87, "" ) &amp; V88 )</f>
        <v>.</v>
      </c>
      <c r="V88" s="169" t="str">
        <f t="shared" ref="V88" si="167" xml:space="preserve"> CONCATENATE( IF( V81&gt;0, V87, "" ) &amp; W88 )</f>
        <v>.</v>
      </c>
      <c r="W88" s="169" t="str">
        <f t="shared" ref="W88" si="168" xml:space="preserve"> CONCATENATE( IF( W81&gt;0, W87, "" ) &amp; X88 )</f>
        <v>.</v>
      </c>
      <c r="X88" s="169" t="str">
        <f t="shared" ref="X88" si="169" xml:space="preserve"> CONCATENATE( IF( X81&gt;0, X87, "" ) &amp; Y88 )</f>
        <v>.</v>
      </c>
      <c r="Y88" s="169" t="str">
        <f t="shared" ref="Y88" si="170" xml:space="preserve"> CONCATENATE( IF( Y81&gt;0, Y87, "" ) &amp; Z88 )</f>
        <v>.</v>
      </c>
      <c r="Z88" s="169" t="str">
        <f t="shared" ref="Z88" si="171" xml:space="preserve"> CONCATENATE( IF( Z81&gt;0, Z87, "" ) &amp; AA88 )</f>
        <v>.</v>
      </c>
      <c r="AA88" s="169" t="str">
        <f t="shared" ref="AA88" si="172" xml:space="preserve"> CONCATENATE( IF( AA81&gt;0, AA87, "" ) &amp; AB88 )</f>
        <v>.</v>
      </c>
      <c r="AB88" s="169" t="str">
        <f t="shared" ref="AB88" si="173" xml:space="preserve"> CONCATENATE( IF( AB81&gt;0, AB87, "" ) &amp; AC88 )</f>
        <v>.</v>
      </c>
      <c r="AC88" s="169" t="str">
        <f t="shared" ref="AC88" si="174" xml:space="preserve"> CONCATENATE( IF( AC81&gt;0, AC87, "" ) &amp; AD88 )</f>
        <v>.</v>
      </c>
      <c r="AD88" s="169" t="str">
        <f t="shared" ref="AD88" si="175" xml:space="preserve"> CONCATENATE( IF( AD81&gt;0, AD87, "" ) &amp; AE88 )</f>
        <v>.</v>
      </c>
      <c r="AE88" s="169" t="str">
        <f t="shared" ref="AE88" si="176" xml:space="preserve"> CONCATENATE( IF( AE81&gt;0, AE87, "" ) &amp; AF88 )</f>
        <v>.</v>
      </c>
      <c r="AF88" s="169" t="str">
        <f>"."</f>
        <v>.</v>
      </c>
    </row>
    <row r="90" spans="11:32">
      <c r="L90" s="167">
        <v>1</v>
      </c>
      <c r="M90" s="167">
        <f>L90+1</f>
        <v>2</v>
      </c>
      <c r="N90" s="167">
        <f t="shared" ref="N90:AE90" si="177">M90+1</f>
        <v>3</v>
      </c>
      <c r="O90" s="167">
        <f t="shared" si="177"/>
        <v>4</v>
      </c>
      <c r="P90" s="167">
        <f t="shared" si="177"/>
        <v>5</v>
      </c>
      <c r="Q90" s="167">
        <f t="shared" si="177"/>
        <v>6</v>
      </c>
      <c r="R90" s="167">
        <f t="shared" si="177"/>
        <v>7</v>
      </c>
      <c r="S90" s="167">
        <f t="shared" si="177"/>
        <v>8</v>
      </c>
      <c r="T90" s="167">
        <f t="shared" si="177"/>
        <v>9</v>
      </c>
      <c r="U90" s="167">
        <f t="shared" si="177"/>
        <v>10</v>
      </c>
      <c r="V90" s="167">
        <f t="shared" si="177"/>
        <v>11</v>
      </c>
      <c r="W90" s="167">
        <f t="shared" si="177"/>
        <v>12</v>
      </c>
      <c r="X90" s="167">
        <f t="shared" si="177"/>
        <v>13</v>
      </c>
      <c r="Y90" s="167">
        <f t="shared" si="177"/>
        <v>14</v>
      </c>
      <c r="Z90" s="167">
        <f t="shared" si="177"/>
        <v>15</v>
      </c>
      <c r="AA90" s="167">
        <f t="shared" si="177"/>
        <v>16</v>
      </c>
      <c r="AB90" s="167">
        <f t="shared" si="177"/>
        <v>17</v>
      </c>
      <c r="AC90" s="167">
        <f t="shared" si="177"/>
        <v>18</v>
      </c>
      <c r="AD90" s="167">
        <f t="shared" si="177"/>
        <v>19</v>
      </c>
      <c r="AE90" s="167">
        <f t="shared" si="177"/>
        <v>20</v>
      </c>
    </row>
    <row r="91" spans="11:32">
      <c r="K91" s="167" t="s">
        <v>524</v>
      </c>
      <c r="L91" s="169" t="s">
        <v>1078</v>
      </c>
      <c r="M91" s="169" t="str">
        <f xml:space="preserve"> IFERROR( T( INDEX( Ship!$A$110:$Q$114, M90, 16 ) ), "None" )</f>
        <v/>
      </c>
      <c r="N91" s="169" t="str">
        <f xml:space="preserve"> IFERROR( T( INDEX( Ship!$A$110:$Q$114, N90, 16 ) ), "None" )</f>
        <v/>
      </c>
      <c r="O91" s="169" t="str">
        <f xml:space="preserve"> IFERROR( T( INDEX( Ship!$A$110:$Q$114, O90, 16 ) ), "None" )</f>
        <v/>
      </c>
      <c r="P91" s="169" t="str">
        <f xml:space="preserve"> IFERROR( T( INDEX( Ship!$A$110:$Q$114, P90, 16 ) ), "None" )</f>
        <v/>
      </c>
      <c r="Q91" s="169" t="str">
        <f xml:space="preserve"> IFERROR( T( INDEX( Ship!$A$110:$Q$114, Q90, 16 ) ), "None" )</f>
        <v>None</v>
      </c>
      <c r="R91" s="169" t="str">
        <f xml:space="preserve"> IFERROR( T( INDEX( Ship!$A$110:$Q$114, R90, 16 ) ), "None" )</f>
        <v>None</v>
      </c>
      <c r="S91" s="169" t="str">
        <f xml:space="preserve"> IFERROR( T( INDEX( Ship!$A$110:$Q$114, S90, 16 ) ), "None" )</f>
        <v>None</v>
      </c>
      <c r="T91" s="169" t="str">
        <f xml:space="preserve"> IFERROR( T( INDEX( Ship!$A$110:$Q$114, T90, 16 ) ), "None" )</f>
        <v>None</v>
      </c>
      <c r="U91" s="169" t="str">
        <f xml:space="preserve"> IFERROR( T( INDEX( Ship!$A$110:$Q$114, U90, 16 ) ), "None" )</f>
        <v>None</v>
      </c>
      <c r="V91" s="169" t="str">
        <f xml:space="preserve"> IFERROR( T( INDEX( Ship!$A$110:$Q$114, V90, 16 ) ), "None" )</f>
        <v>None</v>
      </c>
      <c r="W91" s="169" t="str">
        <f xml:space="preserve"> IFERROR( T( INDEX( Ship!$A$110:$Q$114, W90, 16 ) ), "None" )</f>
        <v>None</v>
      </c>
      <c r="X91" s="169" t="str">
        <f xml:space="preserve"> IFERROR( T( INDEX( Ship!$A$110:$Q$114, X90, 16 ) ), "None" )</f>
        <v>None</v>
      </c>
      <c r="Y91" s="169" t="str">
        <f xml:space="preserve"> IFERROR( T( INDEX( Ship!$A$110:$Q$114, Y90, 16 ) ), "None" )</f>
        <v>None</v>
      </c>
      <c r="Z91" s="169" t="str">
        <f xml:space="preserve"> IFERROR( T( INDEX( Ship!$A$110:$Q$114, Z90, 16 ) ), "None" )</f>
        <v>None</v>
      </c>
      <c r="AA91" s="169" t="str">
        <f xml:space="preserve"> IFERROR( T( INDEX( Ship!$A$110:$Q$114, AA90, 16 ) ), "None" )</f>
        <v>None</v>
      </c>
      <c r="AB91" s="169" t="str">
        <f xml:space="preserve"> IFERROR( T( INDEX( Ship!$A$110:$Q$114, AB90, 16 ) ), "None" )</f>
        <v>None</v>
      </c>
      <c r="AC91" s="169" t="str">
        <f xml:space="preserve"> IFERROR( T( INDEX( Ship!$A$110:$Q$114, AC90, 16 ) ), "None" )</f>
        <v>None</v>
      </c>
      <c r="AD91" s="169" t="str">
        <f xml:space="preserve"> IFERROR( T( INDEX( Ship!$A$110:$Q$114, AD90, 16 ) ), "None" )</f>
        <v>None</v>
      </c>
      <c r="AE91" s="169" t="str">
        <f xml:space="preserve"> IFERROR( T( INDEX( Ship!$A$110:$Q$114, AE90, 16 ) ), "None" )</f>
        <v>None</v>
      </c>
      <c r="AF91" s="169"/>
    </row>
    <row r="92" spans="11:32">
      <c r="L92" s="173" t="str">
        <f xml:space="preserve"> IF( IFERROR( SEARCH( LOWER( LEFT( L91, 1 ) ), vowels ), 0 )&gt;0, "an", "a" )</f>
        <v>a</v>
      </c>
      <c r="M92" s="173" t="str">
        <f t="shared" ref="M92" si="178" xml:space="preserve"> IF( IFERROR( SEARCH( LOWER( LEFT( M91, 1 ) ), vowels ), 0 )&gt;0, "an", "a" )</f>
        <v>an</v>
      </c>
      <c r="N92" s="173" t="str">
        <f t="shared" ref="N92" si="179" xml:space="preserve"> IF( IFERROR( SEARCH( LOWER( LEFT( N91, 1 ) ), vowels ), 0 )&gt;0, "an", "a" )</f>
        <v>an</v>
      </c>
      <c r="O92" s="173" t="str">
        <f t="shared" ref="O92" si="180" xml:space="preserve"> IF( IFERROR( SEARCH( LOWER( LEFT( O91, 1 ) ), vowels ), 0 )&gt;0, "an", "a" )</f>
        <v>an</v>
      </c>
      <c r="P92" s="173" t="str">
        <f t="shared" ref="P92" si="181" xml:space="preserve"> IF( IFERROR( SEARCH( LOWER( LEFT( P91, 1 ) ), vowels ), 0 )&gt;0, "an", "a" )</f>
        <v>an</v>
      </c>
      <c r="Q92" s="173" t="str">
        <f t="shared" ref="Q92" si="182" xml:space="preserve"> IF( IFERROR( SEARCH( LOWER( LEFT( Q91, 1 ) ), vowels ), 0 )&gt;0, "an", "a" )</f>
        <v>a</v>
      </c>
      <c r="R92" s="173" t="str">
        <f t="shared" ref="R92" si="183" xml:space="preserve"> IF( IFERROR( SEARCH( LOWER( LEFT( R91, 1 ) ), vowels ), 0 )&gt;0, "an", "a" )</f>
        <v>a</v>
      </c>
      <c r="S92" s="173" t="str">
        <f t="shared" ref="S92" si="184" xml:space="preserve"> IF( IFERROR( SEARCH( LOWER( LEFT( S91, 1 ) ), vowels ), 0 )&gt;0, "an", "a" )</f>
        <v>a</v>
      </c>
      <c r="T92" s="173" t="str">
        <f t="shared" ref="T92" si="185" xml:space="preserve"> IF( IFERROR( SEARCH( LOWER( LEFT( T91, 1 ) ), vowels ), 0 )&gt;0, "an", "a" )</f>
        <v>a</v>
      </c>
      <c r="U92" s="173" t="str">
        <f t="shared" ref="U92" si="186" xml:space="preserve"> IF( IFERROR( SEARCH( LOWER( LEFT( U91, 1 ) ), vowels ), 0 )&gt;0, "an", "a" )</f>
        <v>a</v>
      </c>
      <c r="V92" s="173" t="str">
        <f t="shared" ref="V92" si="187" xml:space="preserve"> IF( IFERROR( SEARCH( LOWER( LEFT( V91, 1 ) ), vowels ), 0 )&gt;0, "an", "a" )</f>
        <v>a</v>
      </c>
      <c r="W92" s="173" t="str">
        <f t="shared" ref="W92" si="188" xml:space="preserve"> IF( IFERROR( SEARCH( LOWER( LEFT( W91, 1 ) ), vowels ), 0 )&gt;0, "an", "a" )</f>
        <v>a</v>
      </c>
      <c r="X92" s="173" t="str">
        <f t="shared" ref="X92" si="189" xml:space="preserve"> IF( IFERROR( SEARCH( LOWER( LEFT( X91, 1 ) ), vowels ), 0 )&gt;0, "an", "a" )</f>
        <v>a</v>
      </c>
      <c r="Y92" s="173" t="str">
        <f t="shared" ref="Y92" si="190" xml:space="preserve"> IF( IFERROR( SEARCH( LOWER( LEFT( Y91, 1 ) ), vowels ), 0 )&gt;0, "an", "a" )</f>
        <v>a</v>
      </c>
      <c r="Z92" s="173" t="str">
        <f t="shared" ref="Z92" si="191" xml:space="preserve"> IF( IFERROR( SEARCH( LOWER( LEFT( Z91, 1 ) ), vowels ), 0 )&gt;0, "an", "a" )</f>
        <v>a</v>
      </c>
      <c r="AA92" s="173" t="str">
        <f t="shared" ref="AA92" si="192" xml:space="preserve"> IF( IFERROR( SEARCH( LOWER( LEFT( AA91, 1 ) ), vowels ), 0 )&gt;0, "an", "a" )</f>
        <v>a</v>
      </c>
      <c r="AB92" s="173" t="str">
        <f t="shared" ref="AB92" si="193" xml:space="preserve"> IF( IFERROR( SEARCH( LOWER( LEFT( AB91, 1 ) ), vowels ), 0 )&gt;0, "an", "a" )</f>
        <v>a</v>
      </c>
      <c r="AC92" s="173" t="str">
        <f t="shared" ref="AC92" si="194" xml:space="preserve"> IF( IFERROR( SEARCH( LOWER( LEFT( AC91, 1 ) ), vowels ), 0 )&gt;0, "an", "a" )</f>
        <v>a</v>
      </c>
      <c r="AD92" s="173" t="str">
        <f t="shared" ref="AD92" si="195" xml:space="preserve"> IF( IFERROR( SEARCH( LOWER( LEFT( AD91, 1 ) ), vowels ), 0 )&gt;0, "an", "a" )</f>
        <v>a</v>
      </c>
      <c r="AE92" s="173" t="str">
        <f t="shared" ref="AE92" si="196" xml:space="preserve"> IF( IFERROR( SEARCH( LOWER( LEFT( AE91, 1 ) ), vowels ), 0 )&gt;0, "an", "a" )</f>
        <v>a</v>
      </c>
      <c r="AF92" s="169"/>
    </row>
    <row r="93" spans="11:32">
      <c r="L93" s="173" t="s">
        <v>439</v>
      </c>
      <c r="M93" s="173" t="str">
        <f>""</f>
        <v/>
      </c>
      <c r="N93" s="173" t="str">
        <f>""</f>
        <v/>
      </c>
      <c r="O93" s="173" t="str">
        <f>""</f>
        <v/>
      </c>
      <c r="P93" s="173" t="str">
        <f>""</f>
        <v/>
      </c>
      <c r="Q93" s="173" t="str">
        <f>""</f>
        <v/>
      </c>
      <c r="R93" s="173" t="str">
        <f>""</f>
        <v/>
      </c>
      <c r="S93" s="173" t="str">
        <f>""</f>
        <v/>
      </c>
      <c r="T93" s="173" t="str">
        <f>""</f>
        <v/>
      </c>
      <c r="U93" s="173" t="str">
        <f>""</f>
        <v/>
      </c>
      <c r="V93" s="173" t="str">
        <f>""</f>
        <v/>
      </c>
      <c r="W93" s="173" t="str">
        <f>""</f>
        <v/>
      </c>
      <c r="X93" s="173" t="str">
        <f>""</f>
        <v/>
      </c>
      <c r="Y93" s="173" t="str">
        <f>""</f>
        <v/>
      </c>
      <c r="Z93" s="173" t="str">
        <f>""</f>
        <v/>
      </c>
      <c r="AA93" s="173" t="str">
        <f>""</f>
        <v/>
      </c>
      <c r="AB93" s="173" t="str">
        <f>""</f>
        <v/>
      </c>
      <c r="AC93" s="173" t="str">
        <f>""</f>
        <v/>
      </c>
      <c r="AD93" s="173" t="str">
        <f>""</f>
        <v/>
      </c>
      <c r="AE93" s="173" t="str">
        <f>""</f>
        <v/>
      </c>
      <c r="AF93" s="169"/>
    </row>
    <row r="94" spans="11:32">
      <c r="L94" s="169">
        <f xml:space="preserve"> SUM( M94:AE94 )</f>
        <v>0</v>
      </c>
      <c r="M94" s="169">
        <f xml:space="preserve"> IFERROR( INDEX( Ship!$A$110:$Q$114, M90, 10 ), 0 )</f>
        <v>0</v>
      </c>
      <c r="N94" s="169">
        <f xml:space="preserve"> IFERROR( INDEX( Ship!$A$110:$Q$114, N90, 10 ), 0 )</f>
        <v>0</v>
      </c>
      <c r="O94" s="169">
        <f xml:space="preserve"> IFERROR( INDEX( Ship!$A$110:$Q$114, O90, 10 ), 0 )</f>
        <v>0</v>
      </c>
      <c r="P94" s="169">
        <f xml:space="preserve"> IFERROR( INDEX( Ship!$A$110:$Q$114, P90, 10 ), 0 )</f>
        <v>0</v>
      </c>
      <c r="Q94" s="169">
        <f xml:space="preserve"> IFERROR( INDEX( Ship!$A$110:$Q$114, Q90, 10 ), 0 )</f>
        <v>0</v>
      </c>
      <c r="R94" s="169">
        <f xml:space="preserve"> IFERROR( INDEX( Ship!$A$110:$Q$114, R90, 10 ), 0 )</f>
        <v>0</v>
      </c>
      <c r="S94" s="169">
        <f xml:space="preserve"> IFERROR( INDEX( Ship!$A$110:$Q$114, S90, 10 ), 0 )</f>
        <v>0</v>
      </c>
      <c r="T94" s="169">
        <f xml:space="preserve"> IFERROR( INDEX( Ship!$A$110:$Q$114, T90, 10 ), 0 )</f>
        <v>0</v>
      </c>
      <c r="U94" s="169">
        <f xml:space="preserve"> IFERROR( INDEX( Ship!$A$110:$Q$114, U90, 10 ), 0 )</f>
        <v>0</v>
      </c>
      <c r="V94" s="169">
        <f xml:space="preserve"> IFERROR( INDEX( Ship!$A$110:$Q$114, V90, 10 ), 0 )</f>
        <v>0</v>
      </c>
      <c r="W94" s="169">
        <f xml:space="preserve"> IFERROR( INDEX( Ship!$A$110:$Q$114, W90, 10 ), 0 )</f>
        <v>0</v>
      </c>
      <c r="X94" s="169">
        <f xml:space="preserve"> IFERROR( INDEX( Ship!$A$110:$Q$114, X90, 10 ), 0 )</f>
        <v>0</v>
      </c>
      <c r="Y94" s="169">
        <f xml:space="preserve"> IFERROR( INDEX( Ship!$A$110:$Q$114, Y90, 10 ), 0 )</f>
        <v>0</v>
      </c>
      <c r="Z94" s="169">
        <f xml:space="preserve"> IFERROR( INDEX( Ship!$A$110:$Q$114, Z90, 10 ), 0 )</f>
        <v>0</v>
      </c>
      <c r="AA94" s="169">
        <f xml:space="preserve"> IFERROR( INDEX( Ship!$A$110:$Q$114, AA90, 10 ), 0 )</f>
        <v>0</v>
      </c>
      <c r="AB94" s="169">
        <f xml:space="preserve"> IFERROR( INDEX( Ship!$A$110:$Q$114, AB90, 10 ), 0 )</f>
        <v>0</v>
      </c>
      <c r="AC94" s="169">
        <f xml:space="preserve"> IFERROR( INDEX( Ship!$A$110:$Q$114, AC90, 10 ), 0 )</f>
        <v>0</v>
      </c>
      <c r="AD94" s="169">
        <f xml:space="preserve"> IFERROR( INDEX( Ship!$A$110:$Q$114, AD90, 10 ), 0 )</f>
        <v>0</v>
      </c>
      <c r="AE94" s="169">
        <f xml:space="preserve"> IFERROR( INDEX( Ship!$A$110:$Q$114, AE90, 10 ), 0 )</f>
        <v>0</v>
      </c>
      <c r="AF94" s="169"/>
    </row>
    <row r="95" spans="11:32">
      <c r="L95" s="173" t="str">
        <f xml:space="preserve"> IF( L94=0, "no", IF( L94=1, L92, IF( L94&lt;=12, VLOOKUP( L94, Tables!$B$2:$D$36, 3 ), L94 ) ) )</f>
        <v>no</v>
      </c>
      <c r="M95" s="173" t="str">
        <f xml:space="preserve"> IF( M94=0, "no", IF( M94=1, M92, IF( M94&lt;=12, VLOOKUP( M94, Tables!$B$2:$D$36, 3 ), M94 ) ) )</f>
        <v>no</v>
      </c>
      <c r="N95" s="173" t="str">
        <f xml:space="preserve"> IF( N94=0, "no", IF( N94=1, N92, IF( N94&lt;=12, VLOOKUP( N94, Tables!$B$2:$D$36, 3 ), N94 ) ) )</f>
        <v>no</v>
      </c>
      <c r="O95" s="173" t="str">
        <f xml:space="preserve"> IF( O94=0, "no", IF( O94=1, O92, IF( O94&lt;=12, VLOOKUP( O94, Tables!$B$2:$D$36, 3 ), O94 ) ) )</f>
        <v>no</v>
      </c>
      <c r="P95" s="173" t="str">
        <f xml:space="preserve"> IF( P94=0, "no", IF( P94=1, P92, IF( P94&lt;=12, VLOOKUP( P94, Tables!$B$2:$D$36, 3 ), P94 ) ) )</f>
        <v>no</v>
      </c>
      <c r="Q95" s="173" t="str">
        <f xml:space="preserve"> IF( Q94=0, "no", IF( Q94=1, Q92, IF( Q94&lt;=12, VLOOKUP( Q94, Tables!$B$2:$D$36, 3 ), Q94 ) ) )</f>
        <v>no</v>
      </c>
      <c r="R95" s="173" t="str">
        <f xml:space="preserve"> IF( R94=0, "no", IF( R94=1, R92, IF( R94&lt;=12, VLOOKUP( R94, Tables!$B$2:$D$36, 3 ), R94 ) ) )</f>
        <v>no</v>
      </c>
      <c r="S95" s="173" t="str">
        <f xml:space="preserve"> IF( S94=0, "no", IF( S94=1, S92, IF( S94&lt;=12, VLOOKUP( S94, Tables!$B$2:$D$36, 3 ), S94 ) ) )</f>
        <v>no</v>
      </c>
      <c r="T95" s="173" t="str">
        <f xml:space="preserve"> IF( T94=0, "no", IF( T94=1, T92, IF( T94&lt;=12, VLOOKUP( T94, Tables!$B$2:$D$36, 3 ), T94 ) ) )</f>
        <v>no</v>
      </c>
      <c r="U95" s="173" t="str">
        <f xml:space="preserve"> IF( U94=0, "no", IF( U94=1, U92, IF( U94&lt;=12, VLOOKUP( U94, Tables!$B$2:$D$36, 3 ), U94 ) ) )</f>
        <v>no</v>
      </c>
      <c r="V95" s="173" t="str">
        <f xml:space="preserve"> IF( V94=0, "no", IF( V94=1, V92, IF( V94&lt;=12, VLOOKUP( V94, Tables!$B$2:$D$36, 3 ), V94 ) ) )</f>
        <v>no</v>
      </c>
      <c r="W95" s="173" t="str">
        <f xml:space="preserve"> IF( W94=0, "no", IF( W94=1, W92, IF( W94&lt;=12, VLOOKUP( W94, Tables!$B$2:$D$36, 3 ), W94 ) ) )</f>
        <v>no</v>
      </c>
      <c r="X95" s="173" t="str">
        <f xml:space="preserve"> IF( X94=0, "no", IF( X94=1, X92, IF( X94&lt;=12, VLOOKUP( X94, Tables!$B$2:$D$36, 3 ), X94 ) ) )</f>
        <v>no</v>
      </c>
      <c r="Y95" s="173" t="str">
        <f xml:space="preserve"> IF( Y94=0, "no", IF( Y94=1, Y92, IF( Y94&lt;=12, VLOOKUP( Y94, Tables!$B$2:$D$36, 3 ), Y94 ) ) )</f>
        <v>no</v>
      </c>
      <c r="Z95" s="173" t="str">
        <f xml:space="preserve"> IF( Z94=0, "no", IF( Z94=1, Z92, IF( Z94&lt;=12, VLOOKUP( Z94, Tables!$B$2:$D$36, 3 ), Z94 ) ) )</f>
        <v>no</v>
      </c>
      <c r="AA95" s="173" t="str">
        <f xml:space="preserve"> IF( AA94=0, "no", IF( AA94=1, AA92, IF( AA94&lt;=12, VLOOKUP( AA94, Tables!$B$2:$D$36, 3 ), AA94 ) ) )</f>
        <v>no</v>
      </c>
      <c r="AB95" s="173" t="str">
        <f xml:space="preserve"> IF( AB94=0, "no", IF( AB94=1, AB92, IF( AB94&lt;=12, VLOOKUP( AB94, Tables!$B$2:$D$36, 3 ), AB94 ) ) )</f>
        <v>no</v>
      </c>
      <c r="AC95" s="173" t="str">
        <f xml:space="preserve"> IF( AC94=0, "no", IF( AC94=1, AC92, IF( AC94&lt;=12, VLOOKUP( AC94, Tables!$B$2:$D$36, 3 ), AC94 ) ) )</f>
        <v>no</v>
      </c>
      <c r="AD95" s="173" t="str">
        <f xml:space="preserve"> IF( AD94=0, "no", IF( AD94=1, AD92, IF( AD94&lt;=12, VLOOKUP( AD94, Tables!$B$2:$D$36, 3 ), AD94 ) ) )</f>
        <v>no</v>
      </c>
      <c r="AE95" s="173" t="str">
        <f xml:space="preserve"> IF( AE94=0, "no", IF( AE94=1, AE92, IF( AE94&lt;=12, VLOOKUP( AE94, Tables!$B$2:$D$36, 3 ), AE94 ) ) )</f>
        <v>no</v>
      </c>
      <c r="AF95" s="169"/>
    </row>
    <row r="96" spans="11:32">
      <c r="L96" s="173" t="str">
        <f xml:space="preserve"> IF( L94&lt;&gt;1, T(L93), "" )</f>
        <v>s</v>
      </c>
      <c r="M96" s="173" t="str">
        <f t="shared" ref="M96" si="197" xml:space="preserve"> IF( M94&lt;&gt;1, T(M93), "" )</f>
        <v/>
      </c>
      <c r="N96" s="173" t="str">
        <f t="shared" ref="N96:AE96" si="198" xml:space="preserve"> IF( N94&lt;&gt;1, T(N93), "" )</f>
        <v/>
      </c>
      <c r="O96" s="173" t="str">
        <f t="shared" si="198"/>
        <v/>
      </c>
      <c r="P96" s="173" t="str">
        <f t="shared" si="198"/>
        <v/>
      </c>
      <c r="Q96" s="173" t="str">
        <f t="shared" si="198"/>
        <v/>
      </c>
      <c r="R96" s="173" t="str">
        <f t="shared" si="198"/>
        <v/>
      </c>
      <c r="S96" s="173" t="str">
        <f t="shared" si="198"/>
        <v/>
      </c>
      <c r="T96" s="173" t="str">
        <f t="shared" si="198"/>
        <v/>
      </c>
      <c r="U96" s="173" t="str">
        <f t="shared" si="198"/>
        <v/>
      </c>
      <c r="V96" s="173" t="str">
        <f t="shared" si="198"/>
        <v/>
      </c>
      <c r="W96" s="173" t="str">
        <f t="shared" si="198"/>
        <v/>
      </c>
      <c r="X96" s="173" t="str">
        <f t="shared" si="198"/>
        <v/>
      </c>
      <c r="Y96" s="173" t="str">
        <f t="shared" si="198"/>
        <v/>
      </c>
      <c r="Z96" s="173" t="str">
        <f t="shared" si="198"/>
        <v/>
      </c>
      <c r="AA96" s="173" t="str">
        <f t="shared" si="198"/>
        <v/>
      </c>
      <c r="AB96" s="173" t="str">
        <f t="shared" si="198"/>
        <v/>
      </c>
      <c r="AC96" s="173" t="str">
        <f t="shared" si="198"/>
        <v/>
      </c>
      <c r="AD96" s="173" t="str">
        <f t="shared" si="198"/>
        <v/>
      </c>
      <c r="AE96" s="173" t="str">
        <f t="shared" si="198"/>
        <v/>
      </c>
      <c r="AF96" s="169"/>
    </row>
    <row r="97" spans="11:32">
      <c r="L97" s="169" t="str">
        <f xml:space="preserve"> CONCATENATE( L95 &amp; " " &amp; L91 &amp; L96 )</f>
        <v>no screens</v>
      </c>
      <c r="M97" s="169" t="str">
        <f xml:space="preserve"> CONCATENATE( M95 &amp; " " &amp; M91 &amp; M96 )</f>
        <v xml:space="preserve">no </v>
      </c>
      <c r="N97" s="169" t="str">
        <f t="shared" ref="N97:AE97" si="199" xml:space="preserve"> CONCATENATE( N95 &amp; " " &amp; N91 &amp; N96 )</f>
        <v xml:space="preserve">no </v>
      </c>
      <c r="O97" s="169" t="str">
        <f t="shared" si="199"/>
        <v xml:space="preserve">no </v>
      </c>
      <c r="P97" s="169" t="str">
        <f t="shared" si="199"/>
        <v xml:space="preserve">no </v>
      </c>
      <c r="Q97" s="169" t="str">
        <f t="shared" si="199"/>
        <v>no None</v>
      </c>
      <c r="R97" s="169" t="str">
        <f t="shared" si="199"/>
        <v>no None</v>
      </c>
      <c r="S97" s="169" t="str">
        <f t="shared" si="199"/>
        <v>no None</v>
      </c>
      <c r="T97" s="169" t="str">
        <f t="shared" si="199"/>
        <v>no None</v>
      </c>
      <c r="U97" s="169" t="str">
        <f t="shared" si="199"/>
        <v>no None</v>
      </c>
      <c r="V97" s="169" t="str">
        <f t="shared" si="199"/>
        <v>no None</v>
      </c>
      <c r="W97" s="169" t="str">
        <f t="shared" si="199"/>
        <v>no None</v>
      </c>
      <c r="X97" s="169" t="str">
        <f t="shared" si="199"/>
        <v>no None</v>
      </c>
      <c r="Y97" s="169" t="str">
        <f t="shared" si="199"/>
        <v>no None</v>
      </c>
      <c r="Z97" s="169" t="str">
        <f t="shared" si="199"/>
        <v>no None</v>
      </c>
      <c r="AA97" s="169" t="str">
        <f t="shared" si="199"/>
        <v>no None</v>
      </c>
      <c r="AB97" s="169" t="str">
        <f t="shared" si="199"/>
        <v>no None</v>
      </c>
      <c r="AC97" s="169" t="str">
        <f t="shared" si="199"/>
        <v>no None</v>
      </c>
      <c r="AD97" s="169" t="str">
        <f t="shared" si="199"/>
        <v>no None</v>
      </c>
      <c r="AE97" s="169" t="str">
        <f t="shared" si="199"/>
        <v>no None</v>
      </c>
      <c r="AF97" s="169"/>
    </row>
    <row r="98" spans="11:32">
      <c r="L98" s="169"/>
      <c r="M98" s="169" t="str">
        <f xml:space="preserve"> IF( AND( SUM( M94:$AE94 )&gt;0, SUM(N94:$AF94)=0, SUM($L94:L94)&gt;$L94 ), "and ", "" )</f>
        <v/>
      </c>
      <c r="N98" s="169" t="str">
        <f xml:space="preserve"> IF( AND( SUM( N94:$AE94 )&gt;0, SUM(O94:$AF94)=0, SUM($L94:M94)&gt;$L94 ), "and ", "" )</f>
        <v/>
      </c>
      <c r="O98" s="169" t="str">
        <f xml:space="preserve"> IF( AND( SUM( O94:$AE94 )&gt;0, SUM(P94:$AF94)=0, SUM($L94:N94)&gt;$L94 ), "and ", "" )</f>
        <v/>
      </c>
      <c r="P98" s="169" t="str">
        <f xml:space="preserve"> IF( AND( SUM( P94:$AE94 )&gt;0, SUM(Q94:$AF94)=0, SUM($L94:O94)&gt;$L94 ), "and ", "" )</f>
        <v/>
      </c>
      <c r="Q98" s="169" t="str">
        <f xml:space="preserve"> IF( AND( SUM( Q94:$AE94 )&gt;0, SUM(R94:$AF94)=0, SUM($L94:P94)&gt;$L94 ), "and ", "" )</f>
        <v/>
      </c>
      <c r="R98" s="169" t="str">
        <f xml:space="preserve"> IF( AND( SUM( R94:$AE94 )&gt;0, SUM(S94:$AF94)=0, SUM($L94:Q94)&gt;$L94 ), "and ", "" )</f>
        <v/>
      </c>
      <c r="S98" s="169" t="str">
        <f xml:space="preserve"> IF( AND( SUM( S94:$AE94 )&gt;0, SUM(T94:$AF94)=0, SUM($L94:R94)&gt;$L94 ), "and ", "" )</f>
        <v/>
      </c>
      <c r="T98" s="169" t="str">
        <f xml:space="preserve"> IF( AND( SUM( T94:$AE94 )&gt;0, SUM(U94:$AF94)=0, SUM($L94:S94)&gt;$L94 ), "and ", "" )</f>
        <v/>
      </c>
      <c r="U98" s="169" t="str">
        <f xml:space="preserve"> IF( AND( SUM( U94:$AE94 )&gt;0, SUM(V94:$AF94)=0, SUM($L94:T94)&gt;$L94 ), "and ", "" )</f>
        <v/>
      </c>
      <c r="V98" s="169" t="str">
        <f xml:space="preserve"> IF( AND( SUM( V94:$AE94 )&gt;0, SUM(W94:$AF94)=0, SUM($L94:U94)&gt;$L94 ), "and ", "" )</f>
        <v/>
      </c>
      <c r="W98" s="169" t="str">
        <f xml:space="preserve"> IF( AND( SUM( W94:$AE94 )&gt;0, SUM(X94:$AF94)=0, SUM($L94:V94)&gt;$L94 ), "and ", "" )</f>
        <v/>
      </c>
      <c r="X98" s="169" t="str">
        <f xml:space="preserve"> IF( AND( SUM( X94:$AE94 )&gt;0, SUM(Y94:$AF94)=0, SUM($L94:W94)&gt;$L94 ), "and ", "" )</f>
        <v/>
      </c>
      <c r="Y98" s="169" t="str">
        <f xml:space="preserve"> IF( AND( SUM( Y94:$AE94 )&gt;0, SUM(Z94:$AF94)=0, SUM($L94:X94)&gt;$L94 ), "and ", "" )</f>
        <v/>
      </c>
      <c r="Z98" s="169" t="str">
        <f xml:space="preserve"> IF( AND( SUM( Z94:$AE94 )&gt;0, SUM(AA94:$AF94)=0, SUM($L94:Y94)&gt;$L94 ), "and ", "" )</f>
        <v/>
      </c>
      <c r="AA98" s="169" t="str">
        <f xml:space="preserve"> IF( AND( SUM( AA94:$AE94 )&gt;0, SUM(AB94:$AF94)=0, SUM($L94:Z94)&gt;$L94 ), "and ", "" )</f>
        <v/>
      </c>
      <c r="AB98" s="169" t="str">
        <f xml:space="preserve"> IF( AND( SUM( AB94:$AE94 )&gt;0, SUM(AC94:$AF94)=0, SUM($L94:AA94)&gt;$L94 ), "and ", "" )</f>
        <v/>
      </c>
      <c r="AC98" s="169" t="str">
        <f xml:space="preserve"> IF( AND( SUM( AC94:$AE94 )&gt;0, SUM(AD94:$AF94)=0, SUM($L94:AB94)&gt;$L94 ), "and ", "" )</f>
        <v/>
      </c>
      <c r="AD98" s="169" t="str">
        <f xml:space="preserve"> IF( AND( SUM( AD94:$AE94 )&gt;0, SUM(AE94:$AF94)=0, SUM($L94:AC94)&gt;$L94 ), "and ", "" )</f>
        <v/>
      </c>
      <c r="AE98" s="169" t="str">
        <f xml:space="preserve"> IF( AND( SUM( AE94:$AE94 )&gt;0, SUM(AF94:$AF94)=0, SUM($L94:AD94)&gt;$L94 ), "and ", "" )</f>
        <v/>
      </c>
      <c r="AF98" s="169"/>
    </row>
    <row r="99" spans="11:32">
      <c r="L99" s="169"/>
      <c r="M99" s="169" t="str">
        <f xml:space="preserve"> IF( SUM( $M94:M94 )&gt;M94, ", ", "" )</f>
        <v/>
      </c>
      <c r="N99" s="169" t="str">
        <f xml:space="preserve"> IF( SUM( $M94:N94 )&gt;N94, ", ", "" )</f>
        <v/>
      </c>
      <c r="O99" s="169" t="str">
        <f xml:space="preserve"> IF( SUM( $M94:O94 )&gt;O94, ", ", "" )</f>
        <v/>
      </c>
      <c r="P99" s="169" t="str">
        <f xml:space="preserve"> IF( SUM( $M94:P94 )&gt;P94, ", ", "" )</f>
        <v/>
      </c>
      <c r="Q99" s="169" t="str">
        <f xml:space="preserve"> IF( SUM( $M94:Q94 )&gt;Q94, ", ", "" )</f>
        <v/>
      </c>
      <c r="R99" s="169" t="str">
        <f xml:space="preserve"> IF( SUM( $M94:R94 )&gt;R94, ", ", "" )</f>
        <v/>
      </c>
      <c r="S99" s="169" t="str">
        <f xml:space="preserve"> IF( SUM( $M94:S94 )&gt;S94, ", ", "" )</f>
        <v/>
      </c>
      <c r="T99" s="169" t="str">
        <f xml:space="preserve"> IF( SUM( $M94:T94 )&gt;T94, ", ", "" )</f>
        <v/>
      </c>
      <c r="U99" s="169" t="str">
        <f xml:space="preserve"> IF( SUM( $M94:U94 )&gt;U94, ", ", "" )</f>
        <v/>
      </c>
      <c r="V99" s="169" t="str">
        <f xml:space="preserve"> IF( SUM( $M94:V94 )&gt;V94, ", ", "" )</f>
        <v/>
      </c>
      <c r="W99" s="169" t="str">
        <f xml:space="preserve"> IF( SUM( $M94:W94 )&gt;W94, ", ", "" )</f>
        <v/>
      </c>
      <c r="X99" s="169" t="str">
        <f xml:space="preserve"> IF( SUM( $M94:X94 )&gt;X94, ", ", "" )</f>
        <v/>
      </c>
      <c r="Y99" s="169" t="str">
        <f xml:space="preserve"> IF( SUM( $M94:Y94 )&gt;Y94, ", ", "" )</f>
        <v/>
      </c>
      <c r="Z99" s="169" t="str">
        <f xml:space="preserve"> IF( SUM( $M94:Z94 )&gt;Z94, ", ", "" )</f>
        <v/>
      </c>
      <c r="AA99" s="169" t="str">
        <f xml:space="preserve"> IF( SUM( $M94:AA94 )&gt;AA94, ", ", "" )</f>
        <v/>
      </c>
      <c r="AB99" s="169" t="str">
        <f xml:space="preserve"> IF( SUM( $M94:AB94 )&gt;AB94, ", ", "" )</f>
        <v/>
      </c>
      <c r="AC99" s="169" t="str">
        <f xml:space="preserve"> IF( SUM( $M94:AC94 )&gt;AC94, ", ", "" )</f>
        <v/>
      </c>
      <c r="AD99" s="169" t="str">
        <f xml:space="preserve"> IF( SUM( $M94:AD94 )&gt;AD94, ", ", "" )</f>
        <v/>
      </c>
      <c r="AE99" s="169" t="str">
        <f xml:space="preserve"> IF( SUM( $M94:AE94 )&gt;AE94, ", ", "" )</f>
        <v/>
      </c>
      <c r="AF99" s="169"/>
    </row>
    <row r="100" spans="11:32">
      <c r="L100" s="169" t="str">
        <f xml:space="preserve"> CONCATENATE( L99 &amp; L98 &amp; L97 )</f>
        <v>no screens</v>
      </c>
      <c r="M100" s="169" t="str">
        <f xml:space="preserve"> CONCATENATE( M99 &amp; M98 &amp; M97 )</f>
        <v xml:space="preserve">no </v>
      </c>
      <c r="N100" s="169" t="str">
        <f t="shared" ref="N100:AE100" si="200" xml:space="preserve"> CONCATENATE( N99 &amp; N98 &amp; N97 )</f>
        <v xml:space="preserve">no </v>
      </c>
      <c r="O100" s="169" t="str">
        <f t="shared" si="200"/>
        <v xml:space="preserve">no </v>
      </c>
      <c r="P100" s="169" t="str">
        <f t="shared" si="200"/>
        <v xml:space="preserve">no </v>
      </c>
      <c r="Q100" s="169" t="str">
        <f t="shared" si="200"/>
        <v>no None</v>
      </c>
      <c r="R100" s="169" t="str">
        <f t="shared" si="200"/>
        <v>no None</v>
      </c>
      <c r="S100" s="169" t="str">
        <f t="shared" si="200"/>
        <v>no None</v>
      </c>
      <c r="T100" s="169" t="str">
        <f t="shared" si="200"/>
        <v>no None</v>
      </c>
      <c r="U100" s="169" t="str">
        <f t="shared" si="200"/>
        <v>no None</v>
      </c>
      <c r="V100" s="169" t="str">
        <f t="shared" si="200"/>
        <v>no None</v>
      </c>
      <c r="W100" s="169" t="str">
        <f t="shared" si="200"/>
        <v>no None</v>
      </c>
      <c r="X100" s="169" t="str">
        <f t="shared" si="200"/>
        <v>no None</v>
      </c>
      <c r="Y100" s="169" t="str">
        <f t="shared" si="200"/>
        <v>no None</v>
      </c>
      <c r="Z100" s="169" t="str">
        <f t="shared" si="200"/>
        <v>no None</v>
      </c>
      <c r="AA100" s="169" t="str">
        <f t="shared" si="200"/>
        <v>no None</v>
      </c>
      <c r="AB100" s="169" t="str">
        <f t="shared" si="200"/>
        <v>no None</v>
      </c>
      <c r="AC100" s="169" t="str">
        <f t="shared" si="200"/>
        <v>no None</v>
      </c>
      <c r="AD100" s="169" t="str">
        <f t="shared" si="200"/>
        <v>no None</v>
      </c>
      <c r="AE100" s="169" t="str">
        <f t="shared" si="200"/>
        <v>no None</v>
      </c>
      <c r="AF100" s="169"/>
    </row>
    <row r="101" spans="11:32">
      <c r="K101" s="167" t="str">
        <f>M101</f>
        <v>.</v>
      </c>
      <c r="L101" s="169"/>
      <c r="M101" s="169" t="str">
        <f t="shared" ref="M101" si="201" xml:space="preserve"> CONCATENATE( IF( M94&gt;0, M100, "" ) &amp; N101 )</f>
        <v>.</v>
      </c>
      <c r="N101" s="169" t="str">
        <f t="shared" ref="N101" si="202" xml:space="preserve"> CONCATENATE( IF( N94&gt;0, N100, "" ) &amp; O101 )</f>
        <v>.</v>
      </c>
      <c r="O101" s="169" t="str">
        <f t="shared" ref="O101" si="203" xml:space="preserve"> CONCATENATE( IF( O94&gt;0, O100, "" ) &amp; P101 )</f>
        <v>.</v>
      </c>
      <c r="P101" s="169" t="str">
        <f t="shared" ref="P101" si="204" xml:space="preserve"> CONCATENATE( IF( P94&gt;0, P100, "" ) &amp; Q101 )</f>
        <v>.</v>
      </c>
      <c r="Q101" s="169" t="str">
        <f t="shared" ref="Q101" si="205" xml:space="preserve"> CONCATENATE( IF( Q94&gt;0, Q100, "" ) &amp; R101 )</f>
        <v>.</v>
      </c>
      <c r="R101" s="169" t="str">
        <f t="shared" ref="R101" si="206" xml:space="preserve"> CONCATENATE( IF( R94&gt;0, R100, "" ) &amp; S101 )</f>
        <v>.</v>
      </c>
      <c r="S101" s="169" t="str">
        <f t="shared" ref="S101" si="207" xml:space="preserve"> CONCATENATE( IF( S94&gt;0, S100, "" ) &amp; T101 )</f>
        <v>.</v>
      </c>
      <c r="T101" s="169" t="str">
        <f t="shared" ref="T101" si="208" xml:space="preserve"> CONCATENATE( IF( T94&gt;0, T100, "" ) &amp; U101 )</f>
        <v>.</v>
      </c>
      <c r="U101" s="169" t="str">
        <f t="shared" ref="U101" si="209" xml:space="preserve"> CONCATENATE( IF( U94&gt;0, U100, "" ) &amp; V101 )</f>
        <v>.</v>
      </c>
      <c r="V101" s="169" t="str">
        <f t="shared" ref="V101" si="210" xml:space="preserve"> CONCATENATE( IF( V94&gt;0, V100, "" ) &amp; W101 )</f>
        <v>.</v>
      </c>
      <c r="W101" s="169" t="str">
        <f t="shared" ref="W101" si="211" xml:space="preserve"> CONCATENATE( IF( W94&gt;0, W100, "" ) &amp; X101 )</f>
        <v>.</v>
      </c>
      <c r="X101" s="169" t="str">
        <f t="shared" ref="X101" si="212" xml:space="preserve"> CONCATENATE( IF( X94&gt;0, X100, "" ) &amp; Y101 )</f>
        <v>.</v>
      </c>
      <c r="Y101" s="169" t="str">
        <f t="shared" ref="Y101" si="213" xml:space="preserve"> CONCATENATE( IF( Y94&gt;0, Y100, "" ) &amp; Z101 )</f>
        <v>.</v>
      </c>
      <c r="Z101" s="169" t="str">
        <f t="shared" ref="Z101" si="214" xml:space="preserve"> CONCATENATE( IF( Z94&gt;0, Z100, "" ) &amp; AA101 )</f>
        <v>.</v>
      </c>
      <c r="AA101" s="169" t="str">
        <f t="shared" ref="AA101" si="215" xml:space="preserve"> CONCATENATE( IF( AA94&gt;0, AA100, "" ) &amp; AB101 )</f>
        <v>.</v>
      </c>
      <c r="AB101" s="169" t="str">
        <f t="shared" ref="AB101" si="216" xml:space="preserve"> CONCATENATE( IF( AB94&gt;0, AB100, "" ) &amp; AC101 )</f>
        <v>.</v>
      </c>
      <c r="AC101" s="169" t="str">
        <f t="shared" ref="AC101" si="217" xml:space="preserve"> CONCATENATE( IF( AC94&gt;0, AC100, "" ) &amp; AD101 )</f>
        <v>.</v>
      </c>
      <c r="AD101" s="169" t="str">
        <f t="shared" ref="AD101" si="218" xml:space="preserve"> CONCATENATE( IF( AD94&gt;0, AD100, "" ) &amp; AE101 )</f>
        <v>.</v>
      </c>
      <c r="AE101" s="169" t="str">
        <f t="shared" ref="AE101" si="219" xml:space="preserve"> CONCATENATE( IF( AE94&gt;0, AE100, "" ) &amp; AF101 )</f>
        <v>.</v>
      </c>
      <c r="AF101" s="169" t="str">
        <f>"."</f>
        <v>.</v>
      </c>
    </row>
    <row r="103" spans="11:32">
      <c r="L103" s="167">
        <v>1</v>
      </c>
      <c r="M103" s="167">
        <f>L103+1</f>
        <v>2</v>
      </c>
      <c r="N103" s="167">
        <f t="shared" ref="N103:AE103" si="220">M103+1</f>
        <v>3</v>
      </c>
      <c r="O103" s="167">
        <f t="shared" si="220"/>
        <v>4</v>
      </c>
      <c r="P103" s="167">
        <f t="shared" si="220"/>
        <v>5</v>
      </c>
      <c r="Q103" s="167">
        <f t="shared" si="220"/>
        <v>6</v>
      </c>
      <c r="R103" s="167">
        <f t="shared" si="220"/>
        <v>7</v>
      </c>
      <c r="S103" s="167">
        <f t="shared" si="220"/>
        <v>8</v>
      </c>
      <c r="T103" s="167">
        <f t="shared" si="220"/>
        <v>9</v>
      </c>
      <c r="U103" s="167">
        <f t="shared" si="220"/>
        <v>10</v>
      </c>
      <c r="V103" s="167">
        <f t="shared" si="220"/>
        <v>11</v>
      </c>
      <c r="W103" s="167">
        <f t="shared" si="220"/>
        <v>12</v>
      </c>
      <c r="X103" s="167">
        <f t="shared" si="220"/>
        <v>13</v>
      </c>
      <c r="Y103" s="167">
        <f t="shared" si="220"/>
        <v>14</v>
      </c>
      <c r="Z103" s="167">
        <f t="shared" si="220"/>
        <v>15</v>
      </c>
      <c r="AA103" s="167">
        <f t="shared" si="220"/>
        <v>16</v>
      </c>
      <c r="AB103" s="167">
        <f t="shared" si="220"/>
        <v>17</v>
      </c>
      <c r="AC103" s="167">
        <f t="shared" si="220"/>
        <v>18</v>
      </c>
      <c r="AD103" s="167">
        <f t="shared" si="220"/>
        <v>19</v>
      </c>
      <c r="AE103" s="167">
        <f t="shared" si="220"/>
        <v>20</v>
      </c>
    </row>
    <row r="104" spans="11:32">
      <c r="K104" s="167" t="s">
        <v>118</v>
      </c>
      <c r="L104" s="169" t="s">
        <v>667</v>
      </c>
      <c r="M104" s="169" t="str">
        <f xml:space="preserve"> IFERROR( T( INDEX( Ship!$A$115:$Q$120, M103, 3 ) ), "None" )</f>
        <v/>
      </c>
      <c r="N104" s="169" t="str">
        <f xml:space="preserve"> IFERROR( T( INDEX( Ship!$A$115:$Q$120, N103, 3 ) ), "None" )</f>
        <v/>
      </c>
      <c r="O104" s="169" t="str">
        <f xml:space="preserve"> IFERROR( T( INDEX( Ship!$A$115:$Q$120, O103, 3 ) ), "None" )</f>
        <v/>
      </c>
      <c r="P104" s="169" t="str">
        <f xml:space="preserve"> IFERROR( T( INDEX( Ship!$A$115:$Q$120, P103, 3 ) ), "None" )</f>
        <v/>
      </c>
      <c r="Q104" s="169" t="str">
        <f xml:space="preserve"> IFERROR( T( INDEX( Ship!$A$115:$Q$120, Q103, 3 ) ), "None" )</f>
        <v/>
      </c>
      <c r="R104" s="169" t="str">
        <f xml:space="preserve"> IFERROR( T( INDEX( Ship!$A$115:$Q$120, R103, 3 ) ), "None" )</f>
        <v>None</v>
      </c>
      <c r="S104" s="169" t="str">
        <f xml:space="preserve"> IFERROR( T( INDEX( Ship!$A$115:$Q$120, S103, 3 ) ), "None" )</f>
        <v>None</v>
      </c>
      <c r="T104" s="169" t="str">
        <f xml:space="preserve"> IFERROR( T( INDEX( Ship!$A$115:$Q$120, T103, 3 ) ), "None" )</f>
        <v>None</v>
      </c>
      <c r="U104" s="169" t="str">
        <f xml:space="preserve"> IFERROR( T( INDEX( Ship!$A$115:$Q$120, U103, 3 ) ), "None" )</f>
        <v>None</v>
      </c>
      <c r="V104" s="169" t="str">
        <f xml:space="preserve"> IFERROR( T( INDEX( Ship!$A$115:$Q$120, V103, 3 ) ), "None" )</f>
        <v>None</v>
      </c>
      <c r="W104" s="169" t="str">
        <f xml:space="preserve"> IFERROR( T( INDEX( Ship!$A$115:$Q$120, W103, 3 ) ), "None" )</f>
        <v>None</v>
      </c>
      <c r="X104" s="169" t="str">
        <f xml:space="preserve"> IFERROR( T( INDEX( Ship!$A$115:$Q$120, X103, 3 ) ), "None" )</f>
        <v>None</v>
      </c>
      <c r="Y104" s="169" t="str">
        <f xml:space="preserve"> IFERROR( T( INDEX( Ship!$A$115:$Q$120, Y103, 3 ) ), "None" )</f>
        <v>None</v>
      </c>
      <c r="Z104" s="169" t="str">
        <f xml:space="preserve"> IFERROR( T( INDEX( Ship!$A$115:$Q$120, Z103, 3 ) ), "None" )</f>
        <v>None</v>
      </c>
      <c r="AA104" s="169" t="str">
        <f xml:space="preserve"> IFERROR( T( INDEX( Ship!$A$115:$Q$120, AA103, 3 ) ), "None" )</f>
        <v>None</v>
      </c>
      <c r="AB104" s="169" t="str">
        <f xml:space="preserve"> IFERROR( T( INDEX( Ship!$A$115:$Q$120, AB103, 3 ) ), "None" )</f>
        <v>None</v>
      </c>
      <c r="AC104" s="169" t="str">
        <f xml:space="preserve"> IFERROR( T( INDEX( Ship!$A$115:$Q$120, AC103, 3 ) ), "None" )</f>
        <v>None</v>
      </c>
      <c r="AD104" s="169" t="str">
        <f xml:space="preserve"> IFERROR( T( INDEX( Ship!$A$115:$Q$120, AD103, 3 ) ), "None" )</f>
        <v>None</v>
      </c>
      <c r="AE104" s="169" t="str">
        <f xml:space="preserve"> IFERROR( T( INDEX( Ship!$A$115:$Q$120, AE103, 3 ) ), "None" )</f>
        <v>None</v>
      </c>
      <c r="AF104" s="169"/>
    </row>
    <row r="105" spans="11:32">
      <c r="L105" s="173" t="str">
        <f xml:space="preserve"> IF( IFERROR( SEARCH( LOWER( LEFT( L104, 1 ) ), vowels ), 0 )&gt;0, "an", "a" )</f>
        <v>a</v>
      </c>
      <c r="M105" s="173" t="str">
        <f t="shared" ref="M105" si="221" xml:space="preserve"> IF( IFERROR( SEARCH( LOWER( LEFT( M104, 1 ) ), vowels ), 0 )&gt;0, "an", "a" )</f>
        <v>an</v>
      </c>
      <c r="N105" s="173" t="str">
        <f t="shared" ref="N105" si="222" xml:space="preserve"> IF( IFERROR( SEARCH( LOWER( LEFT( N104, 1 ) ), vowels ), 0 )&gt;0, "an", "a" )</f>
        <v>an</v>
      </c>
      <c r="O105" s="173" t="str">
        <f t="shared" ref="O105" si="223" xml:space="preserve"> IF( IFERROR( SEARCH( LOWER( LEFT( O104, 1 ) ), vowels ), 0 )&gt;0, "an", "a" )</f>
        <v>an</v>
      </c>
      <c r="P105" s="173" t="str">
        <f t="shared" ref="P105" si="224" xml:space="preserve"> IF( IFERROR( SEARCH( LOWER( LEFT( P104, 1 ) ), vowels ), 0 )&gt;0, "an", "a" )</f>
        <v>an</v>
      </c>
      <c r="Q105" s="173" t="str">
        <f t="shared" ref="Q105" si="225" xml:space="preserve"> IF( IFERROR( SEARCH( LOWER( LEFT( Q104, 1 ) ), vowels ), 0 )&gt;0, "an", "a" )</f>
        <v>an</v>
      </c>
      <c r="R105" s="173" t="str">
        <f t="shared" ref="R105" si="226" xml:space="preserve"> IF( IFERROR( SEARCH( LOWER( LEFT( R104, 1 ) ), vowels ), 0 )&gt;0, "an", "a" )</f>
        <v>a</v>
      </c>
      <c r="S105" s="173" t="str">
        <f t="shared" ref="S105" si="227" xml:space="preserve"> IF( IFERROR( SEARCH( LOWER( LEFT( S104, 1 ) ), vowels ), 0 )&gt;0, "an", "a" )</f>
        <v>a</v>
      </c>
      <c r="T105" s="173" t="str">
        <f t="shared" ref="T105" si="228" xml:space="preserve"> IF( IFERROR( SEARCH( LOWER( LEFT( T104, 1 ) ), vowels ), 0 )&gt;0, "an", "a" )</f>
        <v>a</v>
      </c>
      <c r="U105" s="173" t="str">
        <f t="shared" ref="U105" si="229" xml:space="preserve"> IF( IFERROR( SEARCH( LOWER( LEFT( U104, 1 ) ), vowels ), 0 )&gt;0, "an", "a" )</f>
        <v>a</v>
      </c>
      <c r="V105" s="173" t="str">
        <f t="shared" ref="V105" si="230" xml:space="preserve"> IF( IFERROR( SEARCH( LOWER( LEFT( V104, 1 ) ), vowels ), 0 )&gt;0, "an", "a" )</f>
        <v>a</v>
      </c>
      <c r="W105" s="173" t="str">
        <f t="shared" ref="W105" si="231" xml:space="preserve"> IF( IFERROR( SEARCH( LOWER( LEFT( W104, 1 ) ), vowels ), 0 )&gt;0, "an", "a" )</f>
        <v>a</v>
      </c>
      <c r="X105" s="173" t="str">
        <f t="shared" ref="X105" si="232" xml:space="preserve"> IF( IFERROR( SEARCH( LOWER( LEFT( X104, 1 ) ), vowels ), 0 )&gt;0, "an", "a" )</f>
        <v>a</v>
      </c>
      <c r="Y105" s="173" t="str">
        <f t="shared" ref="Y105" si="233" xml:space="preserve"> IF( IFERROR( SEARCH( LOWER( LEFT( Y104, 1 ) ), vowels ), 0 )&gt;0, "an", "a" )</f>
        <v>a</v>
      </c>
      <c r="Z105" s="173" t="str">
        <f t="shared" ref="Z105" si="234" xml:space="preserve"> IF( IFERROR( SEARCH( LOWER( LEFT( Z104, 1 ) ), vowels ), 0 )&gt;0, "an", "a" )</f>
        <v>a</v>
      </c>
      <c r="AA105" s="173" t="str">
        <f t="shared" ref="AA105" si="235" xml:space="preserve"> IF( IFERROR( SEARCH( LOWER( LEFT( AA104, 1 ) ), vowels ), 0 )&gt;0, "an", "a" )</f>
        <v>a</v>
      </c>
      <c r="AB105" s="173" t="str">
        <f t="shared" ref="AB105" si="236" xml:space="preserve"> IF( IFERROR( SEARCH( LOWER( LEFT( AB104, 1 ) ), vowels ), 0 )&gt;0, "an", "a" )</f>
        <v>a</v>
      </c>
      <c r="AC105" s="173" t="str">
        <f t="shared" ref="AC105" si="237" xml:space="preserve"> IF( IFERROR( SEARCH( LOWER( LEFT( AC104, 1 ) ), vowels ), 0 )&gt;0, "an", "a" )</f>
        <v>a</v>
      </c>
      <c r="AD105" s="173" t="str">
        <f t="shared" ref="AD105" si="238" xml:space="preserve"> IF( IFERROR( SEARCH( LOWER( LEFT( AD104, 1 ) ), vowels ), 0 )&gt;0, "an", "a" )</f>
        <v>a</v>
      </c>
      <c r="AE105" s="173" t="str">
        <f t="shared" ref="AE105" si="239" xml:space="preserve"> IF( IFERROR( SEARCH( LOWER( LEFT( AE104, 1 ) ), vowels ), 0 )&gt;0, "an", "a" )</f>
        <v>a</v>
      </c>
      <c r="AF105" s="169"/>
    </row>
    <row r="106" spans="11:32">
      <c r="L106" s="173"/>
      <c r="M106" s="173" t="s">
        <v>439</v>
      </c>
      <c r="N106" s="173" t="s">
        <v>439</v>
      </c>
      <c r="O106" s="173" t="s">
        <v>439</v>
      </c>
      <c r="P106" s="173" t="s">
        <v>439</v>
      </c>
      <c r="Q106" s="173" t="s">
        <v>439</v>
      </c>
      <c r="R106" s="173" t="s">
        <v>439</v>
      </c>
      <c r="S106" s="173" t="s">
        <v>439</v>
      </c>
      <c r="T106" s="173" t="s">
        <v>439</v>
      </c>
      <c r="U106" s="173" t="s">
        <v>439</v>
      </c>
      <c r="V106" s="173" t="s">
        <v>439</v>
      </c>
      <c r="W106" s="173" t="s">
        <v>439</v>
      </c>
      <c r="X106" s="173" t="s">
        <v>439</v>
      </c>
      <c r="Y106" s="173" t="s">
        <v>439</v>
      </c>
      <c r="Z106" s="173" t="s">
        <v>439</v>
      </c>
      <c r="AA106" s="173" t="s">
        <v>439</v>
      </c>
      <c r="AB106" s="173" t="s">
        <v>439</v>
      </c>
      <c r="AC106" s="173" t="s">
        <v>439</v>
      </c>
      <c r="AD106" s="173" t="s">
        <v>439</v>
      </c>
      <c r="AE106" s="173" t="s">
        <v>439</v>
      </c>
      <c r="AF106" s="169"/>
    </row>
    <row r="107" spans="11:32">
      <c r="L107" s="173"/>
      <c r="M107" s="174" t="str">
        <f xml:space="preserve"> IFERROR( T( INDEX( Ship!$A$115:$Q$120, M103, 1 ) ), "None" )</f>
        <v>Interior/Hold</v>
      </c>
      <c r="N107" s="174" t="str">
        <f xml:space="preserve"> IFERROR( T( INDEX( Ship!$A$115:$Q$120, N103, 1 ) ), "None" )</f>
        <v>Interior/Hold</v>
      </c>
      <c r="O107" s="174" t="str">
        <f xml:space="preserve"> IFERROR( T( INDEX( Ship!$A$115:$Q$120, O103, 1 ) ), "None" )</f>
        <v>Interior/Hold</v>
      </c>
      <c r="P107" s="174" t="str">
        <f xml:space="preserve"> IFERROR( T( INDEX( Ship!$A$115:$Q$120, P103, 1 ) ), "None" )</f>
        <v>Interior/Hold</v>
      </c>
      <c r="Q107" s="174" t="str">
        <f xml:space="preserve"> IFERROR( T( INDEX( Ship!$A$115:$Q$120, Q103, 1 ) ), "None" )</f>
        <v/>
      </c>
      <c r="R107" s="174" t="str">
        <f xml:space="preserve"> IFERROR( T( INDEX( Ship!$A$115:$Q$120, R103, 1 ) ), "None" )</f>
        <v>None</v>
      </c>
      <c r="S107" s="174" t="str">
        <f xml:space="preserve"> IFERROR( T( INDEX( Ship!$A$115:$Q$120, S103, 1 ) ), "None" )</f>
        <v>None</v>
      </c>
      <c r="T107" s="174" t="str">
        <f xml:space="preserve"> IFERROR( T( INDEX( Ship!$A$115:$Q$120, T103, 1 ) ), "None" )</f>
        <v>None</v>
      </c>
      <c r="U107" s="174" t="str">
        <f xml:space="preserve"> IFERROR( T( INDEX( Ship!$A$115:$Q$120, U103, 1 ) ), "None" )</f>
        <v>None</v>
      </c>
      <c r="V107" s="174" t="str">
        <f xml:space="preserve"> IFERROR( T( INDEX( Ship!$A$115:$Q$120, V103, 1 ) ), "None" )</f>
        <v>None</v>
      </c>
      <c r="W107" s="174" t="str">
        <f xml:space="preserve"> IFERROR( T( INDEX( Ship!$A$115:$Q$120, W103, 1 ) ), "None" )</f>
        <v>None</v>
      </c>
      <c r="X107" s="174" t="str">
        <f xml:space="preserve"> IFERROR( T( INDEX( Ship!$A$115:$Q$120, X103, 1 ) ), "None" )</f>
        <v>None</v>
      </c>
      <c r="Y107" s="174" t="str">
        <f xml:space="preserve"> IFERROR( T( INDEX( Ship!$A$115:$Q$120, Y103, 1 ) ), "None" )</f>
        <v>None</v>
      </c>
      <c r="Z107" s="174" t="str">
        <f xml:space="preserve"> IFERROR( T( INDEX( Ship!$A$115:$Q$120, Z103, 1 ) ), "None" )</f>
        <v>None</v>
      </c>
      <c r="AA107" s="174" t="str">
        <f xml:space="preserve"> IFERROR( T( INDEX( Ship!$A$115:$Q$120, AA103, 1 ) ), "None" )</f>
        <v>None</v>
      </c>
      <c r="AB107" s="174" t="str">
        <f xml:space="preserve"> IFERROR( T( INDEX( Ship!$A$115:$Q$120, AB103, 1 ) ), "None" )</f>
        <v>None</v>
      </c>
      <c r="AC107" s="174" t="str">
        <f xml:space="preserve"> IFERROR( T( INDEX( Ship!$A$115:$Q$120, AC103, 1 ) ), "None" )</f>
        <v>None</v>
      </c>
      <c r="AD107" s="174" t="str">
        <f xml:space="preserve"> IFERROR( T( INDEX( Ship!$A$115:$Q$120, AD103, 1 ) ), "None" )</f>
        <v>None</v>
      </c>
      <c r="AE107" s="174" t="str">
        <f xml:space="preserve"> IFERROR( T( INDEX( Ship!$A$115:$Q$120, AE103, 1 ) ), "None" )</f>
        <v>None</v>
      </c>
      <c r="AF107" s="169"/>
    </row>
    <row r="108" spans="11:32">
      <c r="L108" s="173"/>
      <c r="M108" s="173" t="str">
        <f t="shared" ref="M108" si="240" xml:space="preserve"> IF( IFERROR( SEARCH( LOWER( LEFT( M107, 1 ) ), vowels ), 0 )&gt;0, "an", "a" )</f>
        <v>an</v>
      </c>
      <c r="N108" s="173" t="str">
        <f t="shared" ref="N108" si="241" xml:space="preserve"> IF( IFERROR( SEARCH( LOWER( LEFT( N107, 1 ) ), vowels ), 0 )&gt;0, "an", "a" )</f>
        <v>an</v>
      </c>
      <c r="O108" s="173" t="str">
        <f t="shared" ref="O108" si="242" xml:space="preserve"> IF( IFERROR( SEARCH( LOWER( LEFT( O107, 1 ) ), vowels ), 0 )&gt;0, "an", "a" )</f>
        <v>an</v>
      </c>
      <c r="P108" s="173" t="str">
        <f t="shared" ref="P108" si="243" xml:space="preserve"> IF( IFERROR( SEARCH( LOWER( LEFT( P107, 1 ) ), vowels ), 0 )&gt;0, "an", "a" )</f>
        <v>an</v>
      </c>
      <c r="Q108" s="173" t="str">
        <f t="shared" ref="Q108" si="244" xml:space="preserve"> IF( IFERROR( SEARCH( LOWER( LEFT( Q107, 1 ) ), vowels ), 0 )&gt;0, "an", "a" )</f>
        <v>an</v>
      </c>
      <c r="R108" s="173" t="str">
        <f t="shared" ref="R108" si="245" xml:space="preserve"> IF( IFERROR( SEARCH( LOWER( LEFT( R107, 1 ) ), vowels ), 0 )&gt;0, "an", "a" )</f>
        <v>a</v>
      </c>
      <c r="S108" s="173" t="str">
        <f t="shared" ref="S108" si="246" xml:space="preserve"> IF( IFERROR( SEARCH( LOWER( LEFT( S107, 1 ) ), vowels ), 0 )&gt;0, "an", "a" )</f>
        <v>a</v>
      </c>
      <c r="T108" s="173" t="str">
        <f t="shared" ref="T108" si="247" xml:space="preserve"> IF( IFERROR( SEARCH( LOWER( LEFT( T107, 1 ) ), vowels ), 0 )&gt;0, "an", "a" )</f>
        <v>a</v>
      </c>
      <c r="U108" s="173" t="str">
        <f t="shared" ref="U108" si="248" xml:space="preserve"> IF( IFERROR( SEARCH( LOWER( LEFT( U107, 1 ) ), vowels ), 0 )&gt;0, "an", "a" )</f>
        <v>a</v>
      </c>
      <c r="V108" s="173" t="str">
        <f t="shared" ref="V108" si="249" xml:space="preserve"> IF( IFERROR( SEARCH( LOWER( LEFT( V107, 1 ) ), vowels ), 0 )&gt;0, "an", "a" )</f>
        <v>a</v>
      </c>
      <c r="W108" s="173" t="str">
        <f t="shared" ref="W108" si="250" xml:space="preserve"> IF( IFERROR( SEARCH( LOWER( LEFT( W107, 1 ) ), vowels ), 0 )&gt;0, "an", "a" )</f>
        <v>a</v>
      </c>
      <c r="X108" s="173" t="str">
        <f t="shared" ref="X108" si="251" xml:space="preserve"> IF( IFERROR( SEARCH( LOWER( LEFT( X107, 1 ) ), vowels ), 0 )&gt;0, "an", "a" )</f>
        <v>a</v>
      </c>
      <c r="Y108" s="173" t="str">
        <f t="shared" ref="Y108" si="252" xml:space="preserve"> IF( IFERROR( SEARCH( LOWER( LEFT( Y107, 1 ) ), vowels ), 0 )&gt;0, "an", "a" )</f>
        <v>a</v>
      </c>
      <c r="Z108" s="173" t="str">
        <f t="shared" ref="Z108" si="253" xml:space="preserve"> IF( IFERROR( SEARCH( LOWER( LEFT( Z107, 1 ) ), vowels ), 0 )&gt;0, "an", "a" )</f>
        <v>a</v>
      </c>
      <c r="AA108" s="173" t="str">
        <f t="shared" ref="AA108" si="254" xml:space="preserve"> IF( IFERROR( SEARCH( LOWER( LEFT( AA107, 1 ) ), vowels ), 0 )&gt;0, "an", "a" )</f>
        <v>a</v>
      </c>
      <c r="AB108" s="173" t="str">
        <f t="shared" ref="AB108" si="255" xml:space="preserve"> IF( IFERROR( SEARCH( LOWER( LEFT( AB107, 1 ) ), vowels ), 0 )&gt;0, "an", "a" )</f>
        <v>a</v>
      </c>
      <c r="AC108" s="173" t="str">
        <f t="shared" ref="AC108" si="256" xml:space="preserve"> IF( IFERROR( SEARCH( LOWER( LEFT( AC107, 1 ) ), vowels ), 0 )&gt;0, "an", "a" )</f>
        <v>a</v>
      </c>
      <c r="AD108" s="173" t="str">
        <f t="shared" ref="AD108" si="257" xml:space="preserve"> IF( IFERROR( SEARCH( LOWER( LEFT( AD107, 1 ) ), vowels ), 0 )&gt;0, "an", "a" )</f>
        <v>a</v>
      </c>
      <c r="AE108" s="173" t="str">
        <f t="shared" ref="AE108" si="258" xml:space="preserve"> IF( IFERROR( SEARCH( LOWER( LEFT( AE107, 1 ) ), vowels ), 0 )&gt;0, "an", "a" )</f>
        <v>a</v>
      </c>
      <c r="AF108" s="169"/>
    </row>
    <row r="109" spans="11:32">
      <c r="L109" s="173"/>
      <c r="M109" s="173" t="s">
        <v>720</v>
      </c>
      <c r="N109" s="173" t="s">
        <v>439</v>
      </c>
      <c r="O109" s="173" t="s">
        <v>439</v>
      </c>
      <c r="P109" s="173" t="s">
        <v>439</v>
      </c>
      <c r="Q109" s="173" t="s">
        <v>439</v>
      </c>
      <c r="R109" s="173" t="s">
        <v>439</v>
      </c>
      <c r="S109" s="173" t="s">
        <v>439</v>
      </c>
      <c r="T109" s="173" t="s">
        <v>439</v>
      </c>
      <c r="U109" s="173" t="s">
        <v>439</v>
      </c>
      <c r="V109" s="173" t="s">
        <v>439</v>
      </c>
      <c r="W109" s="173" t="s">
        <v>439</v>
      </c>
      <c r="X109" s="173" t="s">
        <v>439</v>
      </c>
      <c r="Y109" s="173" t="s">
        <v>439</v>
      </c>
      <c r="Z109" s="173" t="s">
        <v>439</v>
      </c>
      <c r="AA109" s="173" t="s">
        <v>439</v>
      </c>
      <c r="AB109" s="173" t="s">
        <v>439</v>
      </c>
      <c r="AC109" s="173" t="s">
        <v>439</v>
      </c>
      <c r="AD109" s="173" t="s">
        <v>439</v>
      </c>
      <c r="AE109" s="173" t="s">
        <v>439</v>
      </c>
      <c r="AF109" s="169"/>
    </row>
    <row r="110" spans="11:32">
      <c r="L110" s="169">
        <f xml:space="preserve"> SUM( M110:AE110 )</f>
        <v>0</v>
      </c>
      <c r="M110" s="169">
        <f xml:space="preserve"> IFERROR( INDEX( Ship!$A$115:$Q$120, M103, 10 ), 0 )</f>
        <v>0</v>
      </c>
      <c r="N110" s="169">
        <f xml:space="preserve"> IFERROR( INDEX( Ship!$A$115:$Q$120, N103, 10 ), 0 )</f>
        <v>0</v>
      </c>
      <c r="O110" s="169">
        <f xml:space="preserve"> IFERROR( INDEX( Ship!$A$115:$Q$120, O103, 10 ), 0 )</f>
        <v>0</v>
      </c>
      <c r="P110" s="169">
        <f xml:space="preserve"> IFERROR( INDEX( Ship!$A$115:$Q$120, P103, 10 ), 0 )</f>
        <v>0</v>
      </c>
      <c r="Q110" s="169">
        <f xml:space="preserve"> IFERROR( INDEX( Ship!$A$115:$Q$120, Q103, 10 ), 0 )</f>
        <v>0</v>
      </c>
      <c r="R110" s="169">
        <f xml:space="preserve"> IFERROR( INDEX( Ship!$A$115:$Q$120, R103, 10 ), 0 )</f>
        <v>0</v>
      </c>
      <c r="S110" s="169">
        <f xml:space="preserve"> IFERROR( INDEX( Ship!$A$115:$Q$120, S103, 10 ), 0 )</f>
        <v>0</v>
      </c>
      <c r="T110" s="169">
        <f xml:space="preserve"> IFERROR( INDEX( Ship!$A$115:$Q$120, T103, 10 ), 0 )</f>
        <v>0</v>
      </c>
      <c r="U110" s="169">
        <f xml:space="preserve"> IFERROR( INDEX( Ship!$A$115:$Q$120, U103, 10 ), 0 )</f>
        <v>0</v>
      </c>
      <c r="V110" s="169">
        <f xml:space="preserve"> IFERROR( INDEX( Ship!$A$115:$Q$120, V103, 10 ), 0 )</f>
        <v>0</v>
      </c>
      <c r="W110" s="169">
        <f xml:space="preserve"> IFERROR( INDEX( Ship!$A$115:$Q$120, W103, 10 ), 0 )</f>
        <v>0</v>
      </c>
      <c r="X110" s="169">
        <f xml:space="preserve"> IFERROR( INDEX( Ship!$A$115:$Q$120, X103, 10 ), 0 )</f>
        <v>0</v>
      </c>
      <c r="Y110" s="169">
        <f xml:space="preserve"> IFERROR( INDEX( Ship!$A$115:$Q$120, Y103, 10 ), 0 )</f>
        <v>0</v>
      </c>
      <c r="Z110" s="169">
        <f xml:space="preserve"> IFERROR( INDEX( Ship!$A$115:$Q$120, Z103, 10 ), 0 )</f>
        <v>0</v>
      </c>
      <c r="AA110" s="169">
        <f xml:space="preserve"> IFERROR( INDEX( Ship!$A$115:$Q$120, AA103, 10 ), 0 )</f>
        <v>0</v>
      </c>
      <c r="AB110" s="169">
        <f xml:space="preserve"> IFERROR( INDEX( Ship!$A$115:$Q$120, AB103, 10 ), 0 )</f>
        <v>0</v>
      </c>
      <c r="AC110" s="169">
        <f xml:space="preserve"> IFERROR( INDEX( Ship!$A$115:$Q$120, AC103, 10 ), 0 )</f>
        <v>0</v>
      </c>
      <c r="AD110" s="169">
        <f xml:space="preserve"> IFERROR( INDEX( Ship!$A$115:$Q$120, AD103, 10 ), 0 )</f>
        <v>0</v>
      </c>
      <c r="AE110" s="169">
        <f xml:space="preserve"> IFERROR( INDEX( Ship!$A$115:$Q$120, AE103, 10 ), 0 )</f>
        <v>0</v>
      </c>
      <c r="AF110" s="169"/>
    </row>
    <row r="111" spans="11:32">
      <c r="L111" s="173" t="str">
        <f xml:space="preserve"> IF( L110=0, "no", IF( L110=1, L105, IF( L110&lt;=12, VLOOKUP( L110, Tables!$B$2:$D$36, 3 ), L110 ) ) )</f>
        <v>no</v>
      </c>
      <c r="M111" s="173" t="str">
        <f xml:space="preserve"> IF( M110=0, "no", IF( M110=1, M105, IF( M110&lt;=12, VLOOKUP( M110, Tables!$B$2:$D$36, 3 ), M110 ) ) )</f>
        <v>no</v>
      </c>
      <c r="N111" s="173" t="str">
        <f xml:space="preserve"> IF( N110=0, "no", IF( N110=1, N105, IF( N110&lt;=12, VLOOKUP( N110, Tables!$B$2:$D$36, 3 ), N110 ) ) )</f>
        <v>no</v>
      </c>
      <c r="O111" s="173" t="str">
        <f xml:space="preserve"> IF( O110=0, "no", IF( O110=1, O105, IF( O110&lt;=12, VLOOKUP( O110, Tables!$B$2:$D$36, 3 ), O110 ) ) )</f>
        <v>no</v>
      </c>
      <c r="P111" s="173" t="str">
        <f xml:space="preserve"> IF( P110=0, "no", IF( P110=1, P105, IF( P110&lt;=12, VLOOKUP( P110, Tables!$B$2:$D$36, 3 ), P110 ) ) )</f>
        <v>no</v>
      </c>
      <c r="Q111" s="173" t="str">
        <f xml:space="preserve"> IF( Q110=0, "no", IF( Q110=1, Q105, IF( Q110&lt;=12, VLOOKUP( Q110, Tables!$B$2:$D$36, 3 ), Q110 ) ) )</f>
        <v>no</v>
      </c>
      <c r="R111" s="173" t="str">
        <f xml:space="preserve"> IF( R110=0, "no", IF( R110=1, R105, IF( R110&lt;=12, VLOOKUP( R110, Tables!$B$2:$D$36, 3 ), R110 ) ) )</f>
        <v>no</v>
      </c>
      <c r="S111" s="173" t="str">
        <f xml:space="preserve"> IF( S110=0, "no", IF( S110=1, S105, IF( S110&lt;=12, VLOOKUP( S110, Tables!$B$2:$D$36, 3 ), S110 ) ) )</f>
        <v>no</v>
      </c>
      <c r="T111" s="173" t="str">
        <f xml:space="preserve"> IF( T110=0, "no", IF( T110=1, T105, IF( T110&lt;=12, VLOOKUP( T110, Tables!$B$2:$D$36, 3 ), T110 ) ) )</f>
        <v>no</v>
      </c>
      <c r="U111" s="173" t="str">
        <f xml:space="preserve"> IF( U110=0, "no", IF( U110=1, U105, IF( U110&lt;=12, VLOOKUP( U110, Tables!$B$2:$D$36, 3 ), U110 ) ) )</f>
        <v>no</v>
      </c>
      <c r="V111" s="173" t="str">
        <f xml:space="preserve"> IF( V110=0, "no", IF( V110=1, V105, IF( V110&lt;=12, VLOOKUP( V110, Tables!$B$2:$D$36, 3 ), V110 ) ) )</f>
        <v>no</v>
      </c>
      <c r="W111" s="173" t="str">
        <f xml:space="preserve"> IF( W110=0, "no", IF( W110=1, W105, IF( W110&lt;=12, VLOOKUP( W110, Tables!$B$2:$D$36, 3 ), W110 ) ) )</f>
        <v>no</v>
      </c>
      <c r="X111" s="173" t="str">
        <f xml:space="preserve"> IF( X110=0, "no", IF( X110=1, X105, IF( X110&lt;=12, VLOOKUP( X110, Tables!$B$2:$D$36, 3 ), X110 ) ) )</f>
        <v>no</v>
      </c>
      <c r="Y111" s="173" t="str">
        <f xml:space="preserve"> IF( Y110=0, "no", IF( Y110=1, Y105, IF( Y110&lt;=12, VLOOKUP( Y110, Tables!$B$2:$D$36, 3 ), Y110 ) ) )</f>
        <v>no</v>
      </c>
      <c r="Z111" s="173" t="str">
        <f xml:space="preserve"> IF( Z110=0, "no", IF( Z110=1, Z105, IF( Z110&lt;=12, VLOOKUP( Z110, Tables!$B$2:$D$36, 3 ), Z110 ) ) )</f>
        <v>no</v>
      </c>
      <c r="AA111" s="173" t="str">
        <f xml:space="preserve"> IF( AA110=0, "no", IF( AA110=1, AA105, IF( AA110&lt;=12, VLOOKUP( AA110, Tables!$B$2:$D$36, 3 ), AA110 ) ) )</f>
        <v>no</v>
      </c>
      <c r="AB111" s="173" t="str">
        <f xml:space="preserve"> IF( AB110=0, "no", IF( AB110=1, AB105, IF( AB110&lt;=12, VLOOKUP( AB110, Tables!$B$2:$D$36, 3 ), AB110 ) ) )</f>
        <v>no</v>
      </c>
      <c r="AC111" s="173" t="str">
        <f xml:space="preserve"> IF( AC110=0, "no", IF( AC110=1, AC105, IF( AC110&lt;=12, VLOOKUP( AC110, Tables!$B$2:$D$36, 3 ), AC110 ) ) )</f>
        <v>no</v>
      </c>
      <c r="AD111" s="173" t="str">
        <f xml:space="preserve"> IF( AD110=0, "no", IF( AD110=1, AD105, IF( AD110&lt;=12, VLOOKUP( AD110, Tables!$B$2:$D$36, 3 ), AD110 ) ) )</f>
        <v>no</v>
      </c>
      <c r="AE111" s="173" t="str">
        <f xml:space="preserve"> IF( AE110=0, "no", IF( AE110=1, AE105, IF( AE110&lt;=12, VLOOKUP( AE110, Tables!$B$2:$D$36, 3 ), AE110 ) ) )</f>
        <v>no</v>
      </c>
      <c r="AF111" s="169"/>
    </row>
    <row r="112" spans="11:32">
      <c r="L112" s="173" t="str">
        <f xml:space="preserve"> IF( L110&lt;&gt;1, T(L106), "" )</f>
        <v/>
      </c>
      <c r="M112" s="173" t="str">
        <f t="shared" ref="M112" si="259" xml:space="preserve"> IF( M110&lt;&gt;1, T(M106), "" )</f>
        <v>s</v>
      </c>
      <c r="N112" s="173" t="str">
        <f t="shared" ref="N112:AE112" si="260" xml:space="preserve"> IF( N110&lt;&gt;1, T(N106), "" )</f>
        <v>s</v>
      </c>
      <c r="O112" s="173" t="str">
        <f t="shared" si="260"/>
        <v>s</v>
      </c>
      <c r="P112" s="173" t="str">
        <f t="shared" si="260"/>
        <v>s</v>
      </c>
      <c r="Q112" s="173" t="str">
        <f t="shared" si="260"/>
        <v>s</v>
      </c>
      <c r="R112" s="173" t="str">
        <f t="shared" si="260"/>
        <v>s</v>
      </c>
      <c r="S112" s="173" t="str">
        <f t="shared" si="260"/>
        <v>s</v>
      </c>
      <c r="T112" s="173" t="str">
        <f t="shared" si="260"/>
        <v>s</v>
      </c>
      <c r="U112" s="173" t="str">
        <f t="shared" si="260"/>
        <v>s</v>
      </c>
      <c r="V112" s="173" t="str">
        <f t="shared" si="260"/>
        <v>s</v>
      </c>
      <c r="W112" s="173" t="str">
        <f t="shared" si="260"/>
        <v>s</v>
      </c>
      <c r="X112" s="173" t="str">
        <f t="shared" si="260"/>
        <v>s</v>
      </c>
      <c r="Y112" s="173" t="str">
        <f t="shared" si="260"/>
        <v>s</v>
      </c>
      <c r="Z112" s="173" t="str">
        <f t="shared" si="260"/>
        <v>s</v>
      </c>
      <c r="AA112" s="173" t="str">
        <f t="shared" si="260"/>
        <v>s</v>
      </c>
      <c r="AB112" s="173" t="str">
        <f t="shared" si="260"/>
        <v>s</v>
      </c>
      <c r="AC112" s="173" t="str">
        <f t="shared" si="260"/>
        <v>s</v>
      </c>
      <c r="AD112" s="173" t="str">
        <f t="shared" si="260"/>
        <v>s</v>
      </c>
      <c r="AE112" s="173" t="str">
        <f t="shared" si="260"/>
        <v>s</v>
      </c>
      <c r="AF112" s="169"/>
    </row>
    <row r="113" spans="11:32">
      <c r="L113" s="169" t="str">
        <f xml:space="preserve"> CONCATENATE( L111 &amp; " " &amp; L104 &amp; L112 )</f>
        <v>no carried craft</v>
      </c>
      <c r="M113" s="169" t="str">
        <f xml:space="preserve"> CONCATENATE( M111 &amp; " " &amp; M104 &amp; M112 )</f>
        <v>no s</v>
      </c>
      <c r="N113" s="169" t="str">
        <f t="shared" ref="N113:AE113" si="261" xml:space="preserve"> CONCATENATE( N111 &amp; " " &amp; N104 &amp; N112 )</f>
        <v>no s</v>
      </c>
      <c r="O113" s="169" t="str">
        <f t="shared" si="261"/>
        <v>no s</v>
      </c>
      <c r="P113" s="169" t="str">
        <f t="shared" si="261"/>
        <v>no s</v>
      </c>
      <c r="Q113" s="169" t="str">
        <f t="shared" si="261"/>
        <v>no s</v>
      </c>
      <c r="R113" s="169" t="str">
        <f t="shared" si="261"/>
        <v>no Nones</v>
      </c>
      <c r="S113" s="169" t="str">
        <f t="shared" si="261"/>
        <v>no Nones</v>
      </c>
      <c r="T113" s="169" t="str">
        <f t="shared" si="261"/>
        <v>no Nones</v>
      </c>
      <c r="U113" s="169" t="str">
        <f t="shared" si="261"/>
        <v>no Nones</v>
      </c>
      <c r="V113" s="169" t="str">
        <f t="shared" si="261"/>
        <v>no Nones</v>
      </c>
      <c r="W113" s="169" t="str">
        <f t="shared" si="261"/>
        <v>no Nones</v>
      </c>
      <c r="X113" s="169" t="str">
        <f t="shared" si="261"/>
        <v>no Nones</v>
      </c>
      <c r="Y113" s="169" t="str">
        <f t="shared" si="261"/>
        <v>no Nones</v>
      </c>
      <c r="Z113" s="169" t="str">
        <f t="shared" si="261"/>
        <v>no Nones</v>
      </c>
      <c r="AA113" s="169" t="str">
        <f t="shared" si="261"/>
        <v>no Nones</v>
      </c>
      <c r="AB113" s="169" t="str">
        <f t="shared" si="261"/>
        <v>no Nones</v>
      </c>
      <c r="AC113" s="169" t="str">
        <f t="shared" si="261"/>
        <v>no Nones</v>
      </c>
      <c r="AD113" s="169" t="str">
        <f t="shared" si="261"/>
        <v>no Nones</v>
      </c>
      <c r="AE113" s="169" t="str">
        <f t="shared" si="261"/>
        <v>no Nones</v>
      </c>
      <c r="AF113" s="169"/>
    </row>
    <row r="114" spans="11:32">
      <c r="L114" s="169"/>
      <c r="M114" s="173" t="str">
        <f xml:space="preserve"> IF( M110=0, "no", IF( M110=1, M111, "" ) )</f>
        <v>no</v>
      </c>
      <c r="N114" s="173" t="str">
        <f t="shared" ref="N114:AE114" si="262" xml:space="preserve"> IF( N110=0, "no", IF( N110=1, N111, "" ) )</f>
        <v>no</v>
      </c>
      <c r="O114" s="173" t="str">
        <f t="shared" si="262"/>
        <v>no</v>
      </c>
      <c r="P114" s="173" t="str">
        <f t="shared" si="262"/>
        <v>no</v>
      </c>
      <c r="Q114" s="173" t="str">
        <f t="shared" si="262"/>
        <v>no</v>
      </c>
      <c r="R114" s="173" t="str">
        <f t="shared" si="262"/>
        <v>no</v>
      </c>
      <c r="S114" s="173" t="str">
        <f t="shared" si="262"/>
        <v>no</v>
      </c>
      <c r="T114" s="173" t="str">
        <f t="shared" si="262"/>
        <v>no</v>
      </c>
      <c r="U114" s="173" t="str">
        <f t="shared" si="262"/>
        <v>no</v>
      </c>
      <c r="V114" s="173" t="str">
        <f t="shared" si="262"/>
        <v>no</v>
      </c>
      <c r="W114" s="173" t="str">
        <f t="shared" si="262"/>
        <v>no</v>
      </c>
      <c r="X114" s="173" t="str">
        <f t="shared" si="262"/>
        <v>no</v>
      </c>
      <c r="Y114" s="173" t="str">
        <f t="shared" si="262"/>
        <v>no</v>
      </c>
      <c r="Z114" s="173" t="str">
        <f t="shared" si="262"/>
        <v>no</v>
      </c>
      <c r="AA114" s="173" t="str">
        <f t="shared" si="262"/>
        <v>no</v>
      </c>
      <c r="AB114" s="173" t="str">
        <f t="shared" si="262"/>
        <v>no</v>
      </c>
      <c r="AC114" s="173" t="str">
        <f t="shared" si="262"/>
        <v>no</v>
      </c>
      <c r="AD114" s="173" t="str">
        <f t="shared" si="262"/>
        <v>no</v>
      </c>
      <c r="AE114" s="173" t="str">
        <f t="shared" si="262"/>
        <v>no</v>
      </c>
      <c r="AF114" s="169"/>
    </row>
    <row r="115" spans="11:32">
      <c r="L115" s="169"/>
      <c r="M115" s="173" t="str">
        <f xml:space="preserve"> IF( M110&lt;&gt;1, T(M106), "" )</f>
        <v>s</v>
      </c>
      <c r="N115" s="173" t="str">
        <f t="shared" ref="N115:AE115" si="263" xml:space="preserve"> IF( N110&lt;&gt;1, T(N106), "" )</f>
        <v>s</v>
      </c>
      <c r="O115" s="173" t="str">
        <f t="shared" si="263"/>
        <v>s</v>
      </c>
      <c r="P115" s="173" t="str">
        <f t="shared" si="263"/>
        <v>s</v>
      </c>
      <c r="Q115" s="173" t="str">
        <f t="shared" si="263"/>
        <v>s</v>
      </c>
      <c r="R115" s="173" t="str">
        <f t="shared" si="263"/>
        <v>s</v>
      </c>
      <c r="S115" s="173" t="str">
        <f t="shared" si="263"/>
        <v>s</v>
      </c>
      <c r="T115" s="173" t="str">
        <f t="shared" si="263"/>
        <v>s</v>
      </c>
      <c r="U115" s="173" t="str">
        <f t="shared" si="263"/>
        <v>s</v>
      </c>
      <c r="V115" s="173" t="str">
        <f t="shared" si="263"/>
        <v>s</v>
      </c>
      <c r="W115" s="173" t="str">
        <f t="shared" si="263"/>
        <v>s</v>
      </c>
      <c r="X115" s="173" t="str">
        <f t="shared" si="263"/>
        <v>s</v>
      </c>
      <c r="Y115" s="173" t="str">
        <f t="shared" si="263"/>
        <v>s</v>
      </c>
      <c r="Z115" s="173" t="str">
        <f t="shared" si="263"/>
        <v>s</v>
      </c>
      <c r="AA115" s="173" t="str">
        <f t="shared" si="263"/>
        <v>s</v>
      </c>
      <c r="AB115" s="173" t="str">
        <f t="shared" si="263"/>
        <v>s</v>
      </c>
      <c r="AC115" s="173" t="str">
        <f t="shared" si="263"/>
        <v>s</v>
      </c>
      <c r="AD115" s="173" t="str">
        <f t="shared" si="263"/>
        <v>s</v>
      </c>
      <c r="AE115" s="173" t="str">
        <f t="shared" si="263"/>
        <v>s</v>
      </c>
      <c r="AF115" s="169"/>
    </row>
    <row r="116" spans="11:32">
      <c r="L116" s="169"/>
      <c r="M116" s="169" t="str">
        <f xml:space="preserve"> CONCATENATE( M114 &amp; IF(LEN(M114)&gt;0," ","") &amp; M107 &amp; M115 )</f>
        <v>no Interior/Holds</v>
      </c>
      <c r="N116" s="169" t="str">
        <f t="shared" ref="N116:AE116" si="264" xml:space="preserve"> CONCATENATE( N114 &amp; IF(LEN(N114)&gt;0," ","") &amp; N107 &amp; N115 )</f>
        <v>no Interior/Holds</v>
      </c>
      <c r="O116" s="169" t="str">
        <f t="shared" si="264"/>
        <v>no Interior/Holds</v>
      </c>
      <c r="P116" s="169" t="str">
        <f t="shared" si="264"/>
        <v>no Interior/Holds</v>
      </c>
      <c r="Q116" s="169" t="str">
        <f t="shared" si="264"/>
        <v>no s</v>
      </c>
      <c r="R116" s="169" t="str">
        <f t="shared" si="264"/>
        <v>no Nones</v>
      </c>
      <c r="S116" s="169" t="str">
        <f t="shared" si="264"/>
        <v>no Nones</v>
      </c>
      <c r="T116" s="169" t="str">
        <f t="shared" si="264"/>
        <v>no Nones</v>
      </c>
      <c r="U116" s="169" t="str">
        <f t="shared" si="264"/>
        <v>no Nones</v>
      </c>
      <c r="V116" s="169" t="str">
        <f t="shared" si="264"/>
        <v>no Nones</v>
      </c>
      <c r="W116" s="169" t="str">
        <f t="shared" si="264"/>
        <v>no Nones</v>
      </c>
      <c r="X116" s="169" t="str">
        <f t="shared" si="264"/>
        <v>no Nones</v>
      </c>
      <c r="Y116" s="169" t="str">
        <f t="shared" si="264"/>
        <v>no Nones</v>
      </c>
      <c r="Z116" s="169" t="str">
        <f t="shared" si="264"/>
        <v>no Nones</v>
      </c>
      <c r="AA116" s="169" t="str">
        <f t="shared" si="264"/>
        <v>no Nones</v>
      </c>
      <c r="AB116" s="169" t="str">
        <f t="shared" si="264"/>
        <v>no Nones</v>
      </c>
      <c r="AC116" s="169" t="str">
        <f t="shared" si="264"/>
        <v>no Nones</v>
      </c>
      <c r="AD116" s="169" t="str">
        <f t="shared" si="264"/>
        <v>no Nones</v>
      </c>
      <c r="AE116" s="169" t="str">
        <f t="shared" si="264"/>
        <v>no Nones</v>
      </c>
      <c r="AF116" s="169"/>
    </row>
    <row r="117" spans="11:32">
      <c r="L117" s="169"/>
      <c r="M117" s="169" t="str">
        <f xml:space="preserve"> IF( AND( SUM( M110:$AE110 )&gt;0, SUM(N110:$AF110)=0, SUM($L110:L110)&gt;$L110 ), "and ", "" )</f>
        <v/>
      </c>
      <c r="N117" s="169" t="str">
        <f xml:space="preserve"> IF( AND( SUM( N110:$AE110 )&gt;0, SUM(O110:$AF110)=0, SUM($L110:M110)&gt;$L110 ), "and ", "" )</f>
        <v/>
      </c>
      <c r="O117" s="169" t="str">
        <f xml:space="preserve"> IF( AND( SUM( O110:$AE110 )&gt;0, SUM(P110:$AF110)=0, SUM($L110:N110)&gt;$L110 ), "and ", "" )</f>
        <v/>
      </c>
      <c r="P117" s="169" t="str">
        <f xml:space="preserve"> IF( AND( SUM( P110:$AE110 )&gt;0, SUM(Q110:$AF110)=0, SUM($L110:O110)&gt;$L110 ), "and ", "" )</f>
        <v/>
      </c>
      <c r="Q117" s="169" t="str">
        <f xml:space="preserve"> IF( AND( SUM( Q110:$AE110 )&gt;0, SUM(R110:$AF110)=0, SUM($L110:P110)&gt;$L110 ), "and ", "" )</f>
        <v/>
      </c>
      <c r="R117" s="169" t="str">
        <f xml:space="preserve"> IF( AND( SUM( R110:$AE110 )&gt;0, SUM(S110:$AF110)=0, SUM($L110:Q110)&gt;$L110 ), "and ", "" )</f>
        <v/>
      </c>
      <c r="S117" s="169" t="str">
        <f xml:space="preserve"> IF( AND( SUM( S110:$AE110 )&gt;0, SUM(T110:$AF110)=0, SUM($L110:R110)&gt;$L110 ), "and ", "" )</f>
        <v/>
      </c>
      <c r="T117" s="169" t="str">
        <f xml:space="preserve"> IF( AND( SUM( T110:$AE110 )&gt;0, SUM(U110:$AF110)=0, SUM($L110:S110)&gt;$L110 ), "and ", "" )</f>
        <v/>
      </c>
      <c r="U117" s="169" t="str">
        <f xml:space="preserve"> IF( AND( SUM( U110:$AE110 )&gt;0, SUM(V110:$AF110)=0, SUM($L110:T110)&gt;$L110 ), "and ", "" )</f>
        <v/>
      </c>
      <c r="V117" s="169" t="str">
        <f xml:space="preserve"> IF( AND( SUM( V110:$AE110 )&gt;0, SUM(W110:$AF110)=0, SUM($L110:U110)&gt;$L110 ), "and ", "" )</f>
        <v/>
      </c>
      <c r="W117" s="169" t="str">
        <f xml:space="preserve"> IF( AND( SUM( W110:$AE110 )&gt;0, SUM(X110:$AF110)=0, SUM($L110:V110)&gt;$L110 ), "and ", "" )</f>
        <v/>
      </c>
      <c r="X117" s="169" t="str">
        <f xml:space="preserve"> IF( AND( SUM( X110:$AE110 )&gt;0, SUM(Y110:$AF110)=0, SUM($L110:W110)&gt;$L110 ), "and ", "" )</f>
        <v/>
      </c>
      <c r="Y117" s="169" t="str">
        <f xml:space="preserve"> IF( AND( SUM( Y110:$AE110 )&gt;0, SUM(Z110:$AF110)=0, SUM($L110:X110)&gt;$L110 ), "and ", "" )</f>
        <v/>
      </c>
      <c r="Z117" s="169" t="str">
        <f xml:space="preserve"> IF( AND( SUM( Z110:$AE110 )&gt;0, SUM(AA110:$AF110)=0, SUM($L110:Y110)&gt;$L110 ), "and ", "" )</f>
        <v/>
      </c>
      <c r="AA117" s="169" t="str">
        <f xml:space="preserve"> IF( AND( SUM( AA110:$AE110 )&gt;0, SUM(AB110:$AF110)=0, SUM($L110:Z110)&gt;$L110 ), "and ", "" )</f>
        <v/>
      </c>
      <c r="AB117" s="169" t="str">
        <f xml:space="preserve"> IF( AND( SUM( AB110:$AE110 )&gt;0, SUM(AC110:$AF110)=0, SUM($L110:AA110)&gt;$L110 ), "and ", "" )</f>
        <v/>
      </c>
      <c r="AC117" s="169" t="str">
        <f xml:space="preserve"> IF( AND( SUM( AC110:$AE110 )&gt;0, SUM(AD110:$AF110)=0, SUM($L110:AB110)&gt;$L110 ), "and ", "" )</f>
        <v/>
      </c>
      <c r="AD117" s="169" t="str">
        <f xml:space="preserve"> IF( AND( SUM( AD110:$AE110 )&gt;0, SUM(AE110:$AF110)=0, SUM($L110:AC110)&gt;$L110 ), "and ", "" )</f>
        <v/>
      </c>
      <c r="AE117" s="169" t="str">
        <f xml:space="preserve"> IF( AND( SUM( AE110:$AE110 )&gt;0, SUM(AF110:$AF110)=0, SUM($L110:AD110)&gt;$L110 ), "and ", "" )</f>
        <v/>
      </c>
      <c r="AF117" s="169"/>
    </row>
    <row r="118" spans="11:32">
      <c r="L118" s="169"/>
      <c r="M118" s="169" t="str">
        <f xml:space="preserve"> IF( SUM( $M110:M110 )&gt;M110, ", ", "" )</f>
        <v/>
      </c>
      <c r="N118" s="169" t="str">
        <f xml:space="preserve"> IF( SUM( $M110:N110 )&gt;N110, ", ", "" )</f>
        <v/>
      </c>
      <c r="O118" s="169" t="str">
        <f xml:space="preserve"> IF( SUM( $M110:O110 )&gt;O110, ", ", "" )</f>
        <v/>
      </c>
      <c r="P118" s="169" t="str">
        <f xml:space="preserve"> IF( SUM( $M110:P110 )&gt;P110, ", ", "" )</f>
        <v/>
      </c>
      <c r="Q118" s="169" t="str">
        <f xml:space="preserve"> IF( SUM( $M110:Q110 )&gt;Q110, ", ", "" )</f>
        <v/>
      </c>
      <c r="R118" s="169" t="str">
        <f xml:space="preserve"> IF( SUM( $M110:R110 )&gt;R110, ", ", "" )</f>
        <v/>
      </c>
      <c r="S118" s="169" t="str">
        <f xml:space="preserve"> IF( SUM( $M110:S110 )&gt;S110, ", ", "" )</f>
        <v/>
      </c>
      <c r="T118" s="169" t="str">
        <f xml:space="preserve"> IF( SUM( $M110:T110 )&gt;T110, ", ", "" )</f>
        <v/>
      </c>
      <c r="U118" s="169" t="str">
        <f xml:space="preserve"> IF( SUM( $M110:U110 )&gt;U110, ", ", "" )</f>
        <v/>
      </c>
      <c r="V118" s="169" t="str">
        <f xml:space="preserve"> IF( SUM( $M110:V110 )&gt;V110, ", ", "" )</f>
        <v/>
      </c>
      <c r="W118" s="169" t="str">
        <f xml:space="preserve"> IF( SUM( $M110:W110 )&gt;W110, ", ", "" )</f>
        <v/>
      </c>
      <c r="X118" s="169" t="str">
        <f xml:space="preserve"> IF( SUM( $M110:X110 )&gt;X110, ", ", "" )</f>
        <v/>
      </c>
      <c r="Y118" s="169" t="str">
        <f xml:space="preserve"> IF( SUM( $M110:Y110 )&gt;Y110, ", ", "" )</f>
        <v/>
      </c>
      <c r="Z118" s="169" t="str">
        <f xml:space="preserve"> IF( SUM( $M110:Z110 )&gt;Z110, ", ", "" )</f>
        <v/>
      </c>
      <c r="AA118" s="169" t="str">
        <f xml:space="preserve"> IF( SUM( $M110:AA110 )&gt;AA110, ", ", "" )</f>
        <v/>
      </c>
      <c r="AB118" s="169" t="str">
        <f xml:space="preserve"> IF( SUM( $M110:AB110 )&gt;AB110, ", ", "" )</f>
        <v/>
      </c>
      <c r="AC118" s="169" t="str">
        <f xml:space="preserve"> IF( SUM( $M110:AC110 )&gt;AC110, ", ", "" )</f>
        <v/>
      </c>
      <c r="AD118" s="169" t="str">
        <f xml:space="preserve"> IF( SUM( $M110:AD110 )&gt;AD110, ", ", "" )</f>
        <v/>
      </c>
      <c r="AE118" s="169" t="str">
        <f xml:space="preserve"> IF( SUM( $M110:AE110 )&gt;AE110, ", ", "" )</f>
        <v/>
      </c>
      <c r="AF118" s="169"/>
    </row>
    <row r="119" spans="11:32">
      <c r="L119" s="169" t="str">
        <f xml:space="preserve"> CONCATENATE( L118 &amp; L117 &amp; L113 )</f>
        <v>no carried craft</v>
      </c>
      <c r="M119" s="169" t="str">
        <f xml:space="preserve"> CONCATENATE( M118 &amp; M117 &amp; M113 &amp; " in " &amp; M116  )</f>
        <v>no s in no Interior/Holds</v>
      </c>
      <c r="N119" s="169" t="str">
        <f t="shared" ref="N119:AE119" si="265" xml:space="preserve"> CONCATENATE( N118 &amp; N117 &amp; N113 &amp; " in " &amp; N116  )</f>
        <v>no s in no Interior/Holds</v>
      </c>
      <c r="O119" s="169" t="str">
        <f t="shared" si="265"/>
        <v>no s in no Interior/Holds</v>
      </c>
      <c r="P119" s="169" t="str">
        <f t="shared" si="265"/>
        <v>no s in no Interior/Holds</v>
      </c>
      <c r="Q119" s="169" t="str">
        <f t="shared" si="265"/>
        <v>no s in no s</v>
      </c>
      <c r="R119" s="169" t="str">
        <f t="shared" si="265"/>
        <v>no Nones in no Nones</v>
      </c>
      <c r="S119" s="169" t="str">
        <f t="shared" si="265"/>
        <v>no Nones in no Nones</v>
      </c>
      <c r="T119" s="169" t="str">
        <f t="shared" si="265"/>
        <v>no Nones in no Nones</v>
      </c>
      <c r="U119" s="169" t="str">
        <f t="shared" si="265"/>
        <v>no Nones in no Nones</v>
      </c>
      <c r="V119" s="169" t="str">
        <f t="shared" si="265"/>
        <v>no Nones in no Nones</v>
      </c>
      <c r="W119" s="169" t="str">
        <f t="shared" si="265"/>
        <v>no Nones in no Nones</v>
      </c>
      <c r="X119" s="169" t="str">
        <f t="shared" si="265"/>
        <v>no Nones in no Nones</v>
      </c>
      <c r="Y119" s="169" t="str">
        <f t="shared" si="265"/>
        <v>no Nones in no Nones</v>
      </c>
      <c r="Z119" s="169" t="str">
        <f t="shared" si="265"/>
        <v>no Nones in no Nones</v>
      </c>
      <c r="AA119" s="169" t="str">
        <f t="shared" si="265"/>
        <v>no Nones in no Nones</v>
      </c>
      <c r="AB119" s="169" t="str">
        <f t="shared" si="265"/>
        <v>no Nones in no Nones</v>
      </c>
      <c r="AC119" s="169" t="str">
        <f t="shared" si="265"/>
        <v>no Nones in no Nones</v>
      </c>
      <c r="AD119" s="169" t="str">
        <f t="shared" si="265"/>
        <v>no Nones in no Nones</v>
      </c>
      <c r="AE119" s="169" t="str">
        <f t="shared" si="265"/>
        <v>no Nones in no Nones</v>
      </c>
      <c r="AF119" s="169"/>
    </row>
    <row r="120" spans="11:32">
      <c r="K120" s="167" t="str">
        <f>M120</f>
        <v>.</v>
      </c>
      <c r="L120" s="169"/>
      <c r="M120" s="169" t="str">
        <f xml:space="preserve"> CONCATENATE( IF( M110&gt;0, M119, "" ) &amp; N120 )</f>
        <v>.</v>
      </c>
      <c r="N120" s="169" t="str">
        <f t="shared" ref="N120:AE120" si="266" xml:space="preserve"> CONCATENATE( IF( N110&gt;0, N119, "" ) &amp; O120 )</f>
        <v>.</v>
      </c>
      <c r="O120" s="169" t="str">
        <f t="shared" si="266"/>
        <v>.</v>
      </c>
      <c r="P120" s="169" t="str">
        <f t="shared" si="266"/>
        <v>.</v>
      </c>
      <c r="Q120" s="169" t="str">
        <f t="shared" si="266"/>
        <v>.</v>
      </c>
      <c r="R120" s="169" t="str">
        <f t="shared" si="266"/>
        <v>.</v>
      </c>
      <c r="S120" s="169" t="str">
        <f t="shared" si="266"/>
        <v>.</v>
      </c>
      <c r="T120" s="169" t="str">
        <f t="shared" si="266"/>
        <v>.</v>
      </c>
      <c r="U120" s="169" t="str">
        <f t="shared" si="266"/>
        <v>.</v>
      </c>
      <c r="V120" s="169" t="str">
        <f t="shared" si="266"/>
        <v>.</v>
      </c>
      <c r="W120" s="169" t="str">
        <f t="shared" si="266"/>
        <v>.</v>
      </c>
      <c r="X120" s="169" t="str">
        <f t="shared" si="266"/>
        <v>.</v>
      </c>
      <c r="Y120" s="169" t="str">
        <f t="shared" si="266"/>
        <v>.</v>
      </c>
      <c r="Z120" s="169" t="str">
        <f t="shared" si="266"/>
        <v>.</v>
      </c>
      <c r="AA120" s="169" t="str">
        <f t="shared" si="266"/>
        <v>.</v>
      </c>
      <c r="AB120" s="169" t="str">
        <f t="shared" si="266"/>
        <v>.</v>
      </c>
      <c r="AC120" s="169" t="str">
        <f t="shared" si="266"/>
        <v>.</v>
      </c>
      <c r="AD120" s="169" t="str">
        <f t="shared" si="266"/>
        <v>.</v>
      </c>
      <c r="AE120" s="169" t="str">
        <f t="shared" si="266"/>
        <v>.</v>
      </c>
      <c r="AF120" s="169" t="str">
        <f>"."</f>
        <v>.</v>
      </c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FF378"/>
  <sheetViews>
    <sheetView workbookViewId="0">
      <pane ySplit="1040" topLeftCell="A4" activePane="bottomLeft"/>
      <selection pane="bottomLeft" activeCell="G88" sqref="G88"/>
    </sheetView>
  </sheetViews>
  <sheetFormatPr baseColWidth="10" defaultRowHeight="13"/>
  <cols>
    <col min="1" max="1" width="12.7109375" customWidth="1"/>
    <col min="2" max="2" width="4.7109375" customWidth="1"/>
    <col min="3" max="3" width="12.7109375" customWidth="1"/>
    <col min="5" max="6" width="3.7109375" customWidth="1"/>
    <col min="7" max="7" width="5.7109375" customWidth="1"/>
    <col min="8" max="9" width="4.7109375" customWidth="1"/>
    <col min="10" max="10" width="6.7109375" customWidth="1"/>
    <col min="11" max="12" width="7.7109375" customWidth="1"/>
    <col min="13" max="14" width="4.7109375" customWidth="1"/>
    <col min="15" max="16" width="6.7109375" customWidth="1"/>
    <col min="19" max="19" width="5.7109375" customWidth="1"/>
    <col min="20" max="20" width="8.7109375" customWidth="1"/>
    <col min="25" max="25" width="10.7109375" style="120"/>
    <col min="26" max="35" width="5.7109375" style="164" customWidth="1"/>
    <col min="36" max="37" width="5.7109375" style="120" customWidth="1"/>
    <col min="38" max="42" width="5.7109375" customWidth="1"/>
    <col min="111" max="115" width="5.7109375" customWidth="1"/>
    <col min="116" max="116" width="5.7109375" style="44" customWidth="1"/>
    <col min="117" max="120" width="5.7109375" customWidth="1"/>
    <col min="122" max="149" width="5.7109375" customWidth="1"/>
    <col min="150" max="150" width="2.7109375" customWidth="1"/>
  </cols>
  <sheetData>
    <row r="1" spans="1:162">
      <c r="A1" s="33">
        <f xml:space="preserve"> IFERROR(Simple!C26,12)</f>
        <v>12</v>
      </c>
      <c r="B1" s="29"/>
      <c r="C1" s="193">
        <f xml:space="preserve"> ROUNDUP( SUM( K45:K47 ) / AO2, 0 )</f>
        <v>2</v>
      </c>
      <c r="D1" s="92" t="str">
        <f xml:space="preserve"> CONCATENATE( E1, F1, "-", AQ4, MID(AY5,1,1), ManN, JumpN )</f>
        <v>SC-AU22</v>
      </c>
      <c r="E1" s="253" t="str">
        <f xml:space="preserve"> IF( Military&gt;1, VLOOKUP(Hull,Tables!$A$40:$D$47,3), IF( AND(Hull&lt;200,JumpN=2,ManN=2), "S", IF(Military&gt;0,"U",IF(IFERROR(C67/Cargo,0)&lt;0.25,"T",IF(IFERROR(C67/Cargo,0)&lt;1.5,"A","M")))) )</f>
        <v>S</v>
      </c>
      <c r="F1" s="253" t="str">
        <f xml:space="preserve"> IF( Military&gt;1, VLOOKUP(Hull,Tables!$A$40:$D$47,4), IF( AND(Hull&lt;200,JumpN=2,ManN=2), "C", "" ) )</f>
        <v>C</v>
      </c>
      <c r="G1" s="1"/>
      <c r="H1" s="22"/>
      <c r="J1" s="154" t="s">
        <v>182</v>
      </c>
      <c r="K1" s="203">
        <f>AS1</f>
        <v>0</v>
      </c>
      <c r="L1" s="30"/>
      <c r="M1" s="23"/>
      <c r="N1" s="49"/>
      <c r="O1" s="24"/>
      <c r="Q1" s="1" t="str">
        <f xml:space="preserve"> CONCATENATE( "Agility " &amp;  BD5 + AU1 + 1*($D$15=Tables!$B$174) )</f>
        <v>Agility -1</v>
      </c>
      <c r="R1" s="196"/>
      <c r="S1" s="196"/>
      <c r="Z1" s="160" t="str">
        <f xml:space="preserve"> CONCATENATE( "[code]" &amp; AA1 )</f>
        <v>[code]SC-AU22   TL-12                      Ergo 2   Comfort 4    Demand 0        Agility -1</v>
      </c>
      <c r="AA1" s="160" t="str">
        <f>CONCATENATE( AB1 &amp; AC1 &amp; AD1 &amp; AE1 &amp; AF1 &amp; AG1 &amp; AH1 &amp; AI1 &amp; AJ1 &amp; AK1 &amp; "  " &amp; AM1 )</f>
        <v>SC-AU22   TL-12                      Ergo 2   Comfort 4    Demand 0        Agility -1</v>
      </c>
      <c r="AB1" s="161" t="str">
        <f xml:space="preserve"> CONCATENATE( D1 &amp; "   TL-" &amp; TL  )</f>
        <v>SC-AU22   TL-12</v>
      </c>
      <c r="AC1" s="160" t="str">
        <f xml:space="preserve"> CONCATENATE( REPT(" ",MAX(0,31-LEN(AB1))) )</f>
        <v xml:space="preserve">                </v>
      </c>
      <c r="AD1" s="160" t="str">
        <f xml:space="preserve"> CONCATENATE( REPT(" ",MAX(0,12-LEN(AE1))) )</f>
        <v xml:space="preserve">      </v>
      </c>
      <c r="AE1" s="162" t="str">
        <f xml:space="preserve"> CONCATENATE( "Ergo " &amp; C1 )</f>
        <v>Ergo 2</v>
      </c>
      <c r="AF1" s="160" t="str">
        <f xml:space="preserve"> CONCATENATE( REPT(" ",MAX(0,12-LEN(AG1))) )</f>
        <v xml:space="preserve">   </v>
      </c>
      <c r="AG1" s="161" t="str">
        <f xml:space="preserve"> CONCATENATE( "Comfort " &amp; C2 )</f>
        <v>Comfort 4</v>
      </c>
      <c r="AH1" s="160" t="str">
        <f xml:space="preserve"> CONCATENATE( REPT(" ",MAX(0,12-LEN(AI1))) )</f>
        <v xml:space="preserve">    </v>
      </c>
      <c r="AI1" s="163" t="str">
        <f xml:space="preserve"> CONCATENATE( "Demand " &amp; C3 )</f>
        <v>Demand 0</v>
      </c>
      <c r="AJ1" s="160" t="str">
        <f xml:space="preserve"> CONCATENATE( REPT(" ",MAX(0,6-LEN(AK1))) )</f>
        <v xml:space="preserve">      </v>
      </c>
      <c r="AK1" s="163"/>
      <c r="AL1" s="163"/>
      <c r="AM1" s="120" t="str">
        <f>Q1</f>
        <v>Agility -1</v>
      </c>
      <c r="AN1" s="120"/>
      <c r="AO1" s="120" t="s">
        <v>158</v>
      </c>
      <c r="AP1" s="120"/>
      <c r="AQ1" t="str">
        <f xml:space="preserve"> CHAR(10)</f>
        <v xml:space="preserve">
</v>
      </c>
      <c r="AR1" t="s">
        <v>49</v>
      </c>
      <c r="AS1">
        <f xml:space="preserve"> (K2 - SUM( P20:P23 )*(G24=0) - SUM( P115:P120)*(G25=0))</f>
        <v>0</v>
      </c>
      <c r="AT1" t="str">
        <f xml:space="preserve"> VLOOKUP( $AS$1, Tables!$A$108:$E$114, 2 )</f>
        <v>Agility ±0</v>
      </c>
      <c r="AU1">
        <f xml:space="preserve"> VLOOKUP( $AS$1, Tables!$A$108:$E$114, 3 )</f>
        <v>0</v>
      </c>
      <c r="AV1">
        <f xml:space="preserve"> VLOOKUP( $AS$1, Tables!$A$108:$E$114, 4 )</f>
        <v>0</v>
      </c>
      <c r="AW1">
        <f xml:space="preserve"> VLOOKUP( $AS$1, Tables!$A$108:$E$114, 5 )</f>
        <v>0</v>
      </c>
      <c r="BM1" s="1" t="s">
        <v>766</v>
      </c>
      <c r="BO1" s="88" t="s">
        <v>744</v>
      </c>
      <c r="BP1" s="88"/>
      <c r="BQ1" s="18" t="s">
        <v>124</v>
      </c>
      <c r="BR1" s="88"/>
      <c r="BS1" s="18" t="s">
        <v>1005</v>
      </c>
      <c r="BT1" s="18"/>
      <c r="BU1" s="18" t="s">
        <v>382</v>
      </c>
      <c r="BV1" s="18"/>
      <c r="BW1" s="88" t="s">
        <v>629</v>
      </c>
      <c r="BY1" s="88" t="s">
        <v>535</v>
      </c>
      <c r="CA1" s="18" t="s">
        <v>187</v>
      </c>
      <c r="CC1" s="18" t="s">
        <v>85</v>
      </c>
      <c r="CE1" s="18" t="s">
        <v>107</v>
      </c>
      <c r="DL1"/>
      <c r="DN1" t="s">
        <v>1090</v>
      </c>
      <c r="DQ1" s="44"/>
    </row>
    <row r="2" spans="1:162">
      <c r="A2" s="150">
        <f xml:space="preserve"> IFERROR( 1*(Simple!C6=Simple!Q6) + 2*(Simple!C6=Simple!R6), 0 )</f>
        <v>0</v>
      </c>
      <c r="B2" s="15"/>
      <c r="C2" s="92">
        <f>I61</f>
        <v>4</v>
      </c>
      <c r="D2" s="15"/>
      <c r="E2" s="66"/>
      <c r="F2" s="66"/>
      <c r="G2" s="3"/>
      <c r="H2" s="2"/>
      <c r="J2" s="49" t="s">
        <v>110</v>
      </c>
      <c r="K2" s="180">
        <f xml:space="preserve"> ROUND( Hull - SUM( K5:K122 ), 2 )</f>
        <v>0</v>
      </c>
      <c r="L2" s="178">
        <f xml:space="preserve"> ROUND( SUM(L4:L122), 3 )</f>
        <v>33.68</v>
      </c>
      <c r="M2" s="179">
        <f>ROUNDDOWN( M4-SUM(M5:M122) + IF( N4-SUM(N5:N122)&lt;0, N4-SUM(N5:N122), 0 )/3, 0 )</f>
        <v>1</v>
      </c>
      <c r="N2" s="179">
        <f xml:space="preserve"> N4-SUM(N5:N122) + 3 * ( M4-SUM(M5:M122) )</f>
        <v>3</v>
      </c>
      <c r="O2" s="24"/>
      <c r="Q2" s="1" t="str">
        <f xml:space="preserve"> CONCATENATE( "Stability " &amp; BE5 + AV1 )</f>
        <v>Stability 0</v>
      </c>
      <c r="R2" s="196"/>
      <c r="S2" s="196"/>
      <c r="T2" t="s">
        <v>297</v>
      </c>
      <c r="Z2" s="160" t="str">
        <f t="shared" ref="Z2:Z33" si="0" xml:space="preserve"> CONCATENATE( INDEX($Z$1:$Z$144,ROW(Z2)-1),AA2 )</f>
        <v>[code]SC-AU22   TL-12                      Ergo 2   Comfort 4    Demand 0        Agility -1
                                     Total:           0       33,68        Stability 0</v>
      </c>
      <c r="AA2" s="160" t="str">
        <f xml:space="preserve"> IF( OR(J2&lt;&gt;0,K2&lt;&gt;0,L2&lt;&gt;0), CONCATENATE( newline &amp; AB2 &amp; AC2 &amp; AD2 &amp; AE2 &amp; AF2 &amp; AG2 &amp; AH2 &amp; AI2 &amp; AJ2 &amp; AK2 &amp; "  " &amp; AM2 ), "" )</f>
        <v xml:space="preserve">
                                     Total:           0       33,68        Stability 0</v>
      </c>
      <c r="AB2" s="161"/>
      <c r="AC2" s="160" t="str">
        <f t="shared" ref="AC2:AC66" si="1" xml:space="preserve"> CONCATENATE( REPT(" ",MAX(0,31-LEN(AB2))) )</f>
        <v xml:space="preserve">                               </v>
      </c>
      <c r="AD2" s="160" t="str">
        <f t="shared" ref="AD2:AD70" si="2" xml:space="preserve"> CONCATENATE( REPT(" ",MAX(0,12-LEN(AE2))) )</f>
        <v xml:space="preserve">      </v>
      </c>
      <c r="AE2" s="162" t="str">
        <f xml:space="preserve"> CONCATENATE( "Total:" )</f>
        <v>Total:</v>
      </c>
      <c r="AF2" s="160" t="str">
        <f t="shared" ref="AF2:AF70" si="3" xml:space="preserve"> CONCATENATE( REPT(" ",MAX(0,12-LEN(AG2))) )</f>
        <v xml:space="preserve">           </v>
      </c>
      <c r="AG2" s="161" t="str">
        <f xml:space="preserve"> CONCATENATE( K2 )</f>
        <v>0</v>
      </c>
      <c r="AH2" s="160" t="str">
        <f t="shared" ref="AH2:AH5" si="4" xml:space="preserve"> CONCATENATE( REPT(" ",MAX(0,12-LEN(AI2))) )</f>
        <v xml:space="preserve">       </v>
      </c>
      <c r="AI2" s="163" t="str">
        <f xml:space="preserve"> CONCATENATE( L2 )</f>
        <v>33,68</v>
      </c>
      <c r="AJ2" s="160" t="str">
        <f t="shared" ref="AJ2:AJ66" si="5" xml:space="preserve"> CONCATENATE( REPT(" ",MAX(0,6-LEN(AK2))) )</f>
        <v xml:space="preserve">      </v>
      </c>
      <c r="AK2" s="163"/>
      <c r="AL2" s="163"/>
      <c r="AM2" s="120" t="str">
        <f>Q2</f>
        <v>Stability 0</v>
      </c>
      <c r="AN2" s="120"/>
      <c r="AO2" s="120">
        <f xml:space="preserve"> SUM( AO3:AO123 )</f>
        <v>10</v>
      </c>
      <c r="AP2" s="120"/>
      <c r="BK2" s="104" t="str">
        <f xml:space="preserve"> LEFT( BL2, LEN( BL2 )-2 )</f>
        <v>120 vs Blast, 2400 vs Heat/Beam, 120 vs Pres, 1200 vs Rad, 0 vs EMP</v>
      </c>
      <c r="BL2" t="str">
        <f xml:space="preserve"> CONCATENATE( CB2,BN2,BP2,BX2,BZ2,BV2,BT2,CD2,BR2 )</f>
        <v xml:space="preserve">120 vs Blast, 2400 vs Heat/Beam, 120 vs Pres, 1200 vs Rad, 0 vs EMP, </v>
      </c>
      <c r="BM2">
        <f>SUM( BM7:BM13 )</f>
        <v>12</v>
      </c>
      <c r="BN2" s="1" t="str">
        <f xml:space="preserve"> IF( $BM$2&lt;&gt;$BO$2, CONCATENATE( BO2, " vs Blast, " ), "" )</f>
        <v xml:space="preserve">120 vs Blast, </v>
      </c>
      <c r="BO2">
        <f>SUM( BO7:BO13 )</f>
        <v>120</v>
      </c>
      <c r="BP2" s="1" t="str">
        <f xml:space="preserve"> IF( $BM2&lt;&gt;BQ2, CONCATENATE( BQ2, " vs Pen, " ), "" )</f>
        <v/>
      </c>
      <c r="BQ2">
        <f>SUM( BQ7:BQ13 )</f>
        <v>12</v>
      </c>
      <c r="BR2" s="1" t="str">
        <f xml:space="preserve"> IF( TRUE, CONCATENATE( BS2, " vs EMP, " ), "" )</f>
        <v xml:space="preserve">0 vs EMP, </v>
      </c>
      <c r="BS2">
        <f>SUM( BS7:BS13 )</f>
        <v>0</v>
      </c>
      <c r="BT2" s="1" t="str">
        <f xml:space="preserve"> IF( TRUE, CONCATENATE( BU2, " vs Rad, " ), "" )</f>
        <v xml:space="preserve">1200 vs Rad, </v>
      </c>
      <c r="BU2">
        <f>SUM( BU7:BU13 )</f>
        <v>1200</v>
      </c>
      <c r="BV2" s="1" t="str">
        <f xml:space="preserve"> IF( ($BM2&lt;&gt;BW2)*0, CONCATENATE( BW2, " vs Nuke, " ), "" )</f>
        <v/>
      </c>
      <c r="BW2">
        <f>SUM( BW7:BW13 )</f>
        <v>1200</v>
      </c>
      <c r="BX2" s="1" t="str">
        <f xml:space="preserve"> IF( $BM2&lt;&gt;BY2, CONCATENATE( BY2, " vs Heat/Beam, " ), "" )</f>
        <v xml:space="preserve">2400 vs Heat/Beam, </v>
      </c>
      <c r="BY2">
        <f>SUM( BY7:BY13 )</f>
        <v>2400</v>
      </c>
      <c r="BZ2" s="1" t="str">
        <f xml:space="preserve"> IF( $BM2&lt;&gt;CA2, CONCATENATE( CA2, " vs Pres, " ), "" )</f>
        <v xml:space="preserve">120 vs Pres, </v>
      </c>
      <c r="CA2">
        <f>SUM( CA7:CA13 ) * ( 1 + 1*(C16=Tables!A173) )</f>
        <v>120</v>
      </c>
      <c r="CB2" s="1" t="str">
        <f xml:space="preserve"> IF( 0&lt;&gt;CC2, CONCATENATE( CC2, " vs Beam, " ), "" )</f>
        <v/>
      </c>
      <c r="CC2">
        <f xml:space="preserve"> SUM( BY7:BY12 )*0 + CC7</f>
        <v>0</v>
      </c>
      <c r="CD2" s="1" t="str">
        <f xml:space="preserve"> IF( $BM2*0&lt;&gt;CE2, CONCATENATE( CE2, " vs Trac, " ), "" )</f>
        <v/>
      </c>
      <c r="CE2">
        <f xml:space="preserve"> BM2*0 + SUM( CE7:CE13 )</f>
        <v>0</v>
      </c>
      <c r="DL2" t="s">
        <v>245</v>
      </c>
      <c r="DM2" t="s">
        <v>331</v>
      </c>
      <c r="DN2" t="s">
        <v>678</v>
      </c>
      <c r="DO2" t="s">
        <v>675</v>
      </c>
      <c r="DP2" t="s">
        <v>849</v>
      </c>
      <c r="DQ2" s="44" t="s">
        <v>245</v>
      </c>
      <c r="DR2" t="s">
        <v>331</v>
      </c>
      <c r="DS2" t="s">
        <v>678</v>
      </c>
      <c r="DT2" t="s">
        <v>675</v>
      </c>
      <c r="DU2" t="s">
        <v>849</v>
      </c>
      <c r="DX2">
        <f xml:space="preserve"> SUM( DX4:DX125 )</f>
        <v>0</v>
      </c>
      <c r="DZ2">
        <f t="shared" ref="DZ2:EX2" si="6" xml:space="preserve"> SUM( DZ4:DZ125 )</f>
        <v>13</v>
      </c>
      <c r="EB2">
        <f t="shared" si="6"/>
        <v>12</v>
      </c>
      <c r="ED2">
        <f t="shared" si="6"/>
        <v>0</v>
      </c>
      <c r="EF2">
        <f t="shared" si="6"/>
        <v>2.6</v>
      </c>
      <c r="EH2">
        <f t="shared" si="6"/>
        <v>0</v>
      </c>
      <c r="EJ2">
        <f t="shared" si="6"/>
        <v>32.4</v>
      </c>
      <c r="EL2">
        <f t="shared" si="6"/>
        <v>0</v>
      </c>
      <c r="EN2">
        <f t="shared" si="6"/>
        <v>0</v>
      </c>
      <c r="EP2">
        <f t="shared" ref="EP2" si="7" xml:space="preserve"> SUM( EP4:EP125 )</f>
        <v>0</v>
      </c>
      <c r="ER2">
        <f t="shared" si="6"/>
        <v>24</v>
      </c>
      <c r="ET2">
        <f t="shared" ref="ET2" si="8" xml:space="preserve"> SUM( ET4:ET125 )</f>
        <v>0</v>
      </c>
      <c r="EV2">
        <f t="shared" ref="EV2" si="9" xml:space="preserve"> SUM( EV4:EV125 )</f>
        <v>10</v>
      </c>
      <c r="EX2">
        <f t="shared" si="6"/>
        <v>6</v>
      </c>
      <c r="EZ2">
        <f>SUM( DX2:EX2 )</f>
        <v>100</v>
      </c>
    </row>
    <row r="3" spans="1:162">
      <c r="A3" s="255">
        <v>0</v>
      </c>
      <c r="C3" s="93">
        <f xml:space="preserve">  I67</f>
        <v>0</v>
      </c>
      <c r="G3" s="50" t="s">
        <v>933</v>
      </c>
      <c r="H3" s="50" t="s">
        <v>286</v>
      </c>
      <c r="I3" s="50" t="s">
        <v>67</v>
      </c>
      <c r="J3" s="50" t="s">
        <v>1026</v>
      </c>
      <c r="K3" s="50" t="s">
        <v>337</v>
      </c>
      <c r="L3" s="50" t="s">
        <v>818</v>
      </c>
      <c r="M3" s="50" t="s">
        <v>696</v>
      </c>
      <c r="N3" s="50" t="s">
        <v>493</v>
      </c>
      <c r="O3" s="50" t="s">
        <v>409</v>
      </c>
      <c r="S3" s="231">
        <f xml:space="preserve"> MAX( S4:S123 )</f>
        <v>12</v>
      </c>
      <c r="T3" t="s">
        <v>966</v>
      </c>
      <c r="Z3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</v>
      </c>
      <c r="AA3" s="160" t="str">
        <f xml:space="preserve"> IF( OR(J3&lt;&gt;0,K3&lt;&gt;0,L3&lt;&gt;0), CONCATENATE( newline &amp; AB3 &amp; AC3 &amp; AD3 &amp; AE3 &amp; AF3 &amp; AG3 &amp; AH3 &amp; AI3 &amp; AJ3 &amp; AK3 ), "" )</f>
        <v xml:space="preserve">
System                                    #        Dton        Cost      </v>
      </c>
      <c r="AB3" s="161" t="str">
        <f>"System"</f>
        <v>System</v>
      </c>
      <c r="AC3" s="160" t="str">
        <f t="shared" si="1"/>
        <v xml:space="preserve">                         </v>
      </c>
      <c r="AD3" s="160" t="str">
        <f t="shared" si="2"/>
        <v xml:space="preserve">           </v>
      </c>
      <c r="AE3" s="162" t="str">
        <f t="shared" ref="AE3:AE5" si="10" xml:space="preserve"> CONCATENATE( J3 )</f>
        <v>#</v>
      </c>
      <c r="AF3" s="160" t="str">
        <f t="shared" si="3"/>
        <v xml:space="preserve">        </v>
      </c>
      <c r="AG3" s="161" t="str">
        <f t="shared" ref="AG3:AG8" si="11" xml:space="preserve"> CONCATENATE( K3 )</f>
        <v>Dton</v>
      </c>
      <c r="AH3" s="160" t="str">
        <f t="shared" si="4"/>
        <v xml:space="preserve">        </v>
      </c>
      <c r="AI3" s="163" t="str">
        <f t="shared" ref="AI3:AI8" si="12" xml:space="preserve"> CONCATENATE( L3 )</f>
        <v>Cost</v>
      </c>
      <c r="AJ3" s="160" t="str">
        <f t="shared" si="5"/>
        <v xml:space="preserve">      </v>
      </c>
      <c r="AK3" s="163" t="str">
        <f>""</f>
        <v/>
      </c>
      <c r="AL3" s="163"/>
      <c r="AM3" s="120" t="str">
        <f>""</f>
        <v/>
      </c>
      <c r="AN3" s="120"/>
      <c r="AO3" s="120"/>
      <c r="AP3" s="120"/>
      <c r="AQ3" t="s">
        <v>254</v>
      </c>
      <c r="BC3" s="1"/>
      <c r="BE3" s="1"/>
      <c r="BG3" s="1"/>
      <c r="BI3" s="1"/>
      <c r="DL3" t="s">
        <v>1052</v>
      </c>
      <c r="DM3" t="s">
        <v>191</v>
      </c>
      <c r="DN3" t="s">
        <v>495</v>
      </c>
      <c r="DO3" t="s">
        <v>586</v>
      </c>
      <c r="DP3" t="s">
        <v>247</v>
      </c>
      <c r="DQ3" s="44"/>
      <c r="DX3" s="113" t="s">
        <v>927</v>
      </c>
      <c r="DZ3" s="113" t="s">
        <v>898</v>
      </c>
      <c r="EB3" s="113" t="s">
        <v>970</v>
      </c>
      <c r="ED3" s="113" t="s">
        <v>654</v>
      </c>
      <c r="EF3" s="113" t="s">
        <v>833</v>
      </c>
      <c r="EH3" s="113" t="s">
        <v>835</v>
      </c>
      <c r="EJ3" s="113" t="s">
        <v>131</v>
      </c>
      <c r="EL3" s="113" t="s">
        <v>261</v>
      </c>
      <c r="EN3" s="113" t="s">
        <v>551</v>
      </c>
      <c r="EP3" s="113" t="s">
        <v>342</v>
      </c>
      <c r="ER3" s="113" t="s">
        <v>266</v>
      </c>
      <c r="ET3" s="113" t="s">
        <v>717</v>
      </c>
      <c r="EV3" s="113" t="s">
        <v>132</v>
      </c>
      <c r="EX3" s="113" t="s">
        <v>133</v>
      </c>
      <c r="EY3" s="113"/>
      <c r="EZ3" s="94" t="s">
        <v>134</v>
      </c>
      <c r="FC3" t="s">
        <v>752</v>
      </c>
      <c r="FE3" t="s">
        <v>753</v>
      </c>
    </row>
    <row r="4" spans="1:162">
      <c r="A4" s="94" t="s">
        <v>542</v>
      </c>
      <c r="C4" s="257">
        <f xml:space="preserve"> 6 + 1*(Hull&gt;=100) + 1*(Hull&gt;=2450) + 1*(Hull&gt;=100000)</f>
        <v>7</v>
      </c>
      <c r="D4" s="87"/>
      <c r="G4" s="105">
        <f xml:space="preserve"> IFERROR( Simple!C39, 100 )</f>
        <v>100</v>
      </c>
      <c r="H4" s="26"/>
      <c r="I4" s="4"/>
      <c r="J4" s="3"/>
      <c r="K4" s="80">
        <f xml:space="preserve"> G4 + IFERROR($BS$14,0) + IFERROR($BS$15,0)</f>
        <v>100</v>
      </c>
      <c r="L4" s="80"/>
      <c r="M4" s="3">
        <f>ROUNDDOWN(Hull/100,0)</f>
        <v>1</v>
      </c>
      <c r="N4" s="48">
        <f>BA4</f>
        <v>0</v>
      </c>
      <c r="O4" s="3"/>
      <c r="S4" s="223">
        <f xml:space="preserve"> TL</f>
        <v>12</v>
      </c>
      <c r="Z4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</v>
      </c>
      <c r="AA4" s="160" t="str">
        <f t="shared" ref="AA4:AA5" si="13" xml:space="preserve"> IF( OR(J4&lt;&gt;0,K4&lt;&gt;0,L4&lt;&gt;0), CONCATENATE( newline &amp; AB4 &amp; AC4 &amp; AD4 &amp; AE4 &amp; AF4 &amp; AG4 &amp; AH4 &amp; AI4 &amp; AJ4 &amp; AK4 ), "" )</f>
        <v xml:space="preserve">
Hull                                                100                  </v>
      </c>
      <c r="AB4" s="161" t="str">
        <f xml:space="preserve"> CONCATENATE( A4 )</f>
        <v>Hull</v>
      </c>
      <c r="AC4" s="160" t="str">
        <f t="shared" si="1"/>
        <v xml:space="preserve">                           </v>
      </c>
      <c r="AD4" s="160" t="str">
        <f t="shared" si="2"/>
        <v xml:space="preserve">            </v>
      </c>
      <c r="AE4" s="162" t="str">
        <f t="shared" si="10"/>
        <v/>
      </c>
      <c r="AF4" s="160" t="str">
        <f t="shared" si="3"/>
        <v xml:space="preserve">         </v>
      </c>
      <c r="AG4" s="161" t="str">
        <f t="shared" si="11"/>
        <v>100</v>
      </c>
      <c r="AH4" s="160" t="str">
        <f t="shared" si="4"/>
        <v xml:space="preserve">            </v>
      </c>
      <c r="AI4" s="163" t="str">
        <f t="shared" si="12"/>
        <v/>
      </c>
      <c r="AJ4" s="160" t="str">
        <f t="shared" si="5"/>
        <v xml:space="preserve">      </v>
      </c>
      <c r="AK4" s="163" t="str">
        <f xml:space="preserve"> IF( AND(S4&gt;0,S4&lt;&gt;TL), CONCATENATE( "TL" &amp; S4  ), "" )</f>
        <v/>
      </c>
      <c r="AL4" s="163"/>
      <c r="AM4" s="120" t="str">
        <f>""</f>
        <v/>
      </c>
      <c r="AN4" s="120"/>
      <c r="AO4" s="120"/>
      <c r="AP4" s="120"/>
      <c r="AQ4" s="80" t="str">
        <f xml:space="preserve"> VLOOKUP( Hull, Tables!$A$51:$J$84, 2 )</f>
        <v>A</v>
      </c>
      <c r="AR4" s="80">
        <f xml:space="preserve"> VLOOKUP( Hull, Tables!$A$51:$J$84, 3 )</f>
        <v>100</v>
      </c>
      <c r="AS4" s="80">
        <f xml:space="preserve"> IF(  Hull&lt;100,  0,  VLOOKUP( Hull, Tables!$A$51:$J$84, 3 + Config )  )</f>
        <v>5</v>
      </c>
      <c r="AT4" s="46">
        <f xml:space="preserve"> VLOOKUP( Hull - IF( Hull&lt;100, 0, AR4), Tables!A51:J84, 3 + Config )</f>
        <v>0</v>
      </c>
      <c r="AU4">
        <f xml:space="preserve"> IF( DriveCapacity&gt;2400, INT( DriveCapacity/100 ), VLOOKUP( DriveCapacity, Tables!$A$89:$C$104, 2 ) )</f>
        <v>5</v>
      </c>
      <c r="AV4">
        <f xml:space="preserve"> (DriveCapacity-SUM(K8:K12)) / MAX( 1, Compartments )</f>
        <v>20</v>
      </c>
      <c r="AW4" s="80">
        <f xml:space="preserve"> AV4 / 6</f>
        <v>3.3333333333333335</v>
      </c>
      <c r="AX4">
        <f xml:space="preserve"> MAX( INT(Compartments/2), VLOOKUP( DriveCapacity, Tables!$A$89:$C$104, 3 ) )</f>
        <v>4</v>
      </c>
      <c r="AY4" s="46"/>
      <c r="AZ4">
        <f xml:space="preserve"> Hull - INT( Hull/100 )*100</f>
        <v>0</v>
      </c>
      <c r="BA4">
        <f>1*(AZ4&gt;=10) + 1*(AZ4&gt;=35) + 1*(AZ4&gt;=70)</f>
        <v>0</v>
      </c>
      <c r="BC4" s="1" t="s">
        <v>469</v>
      </c>
      <c r="BD4" s="1" t="s">
        <v>874</v>
      </c>
      <c r="BE4" s="1" t="s">
        <v>750</v>
      </c>
      <c r="BF4" s="1" t="s">
        <v>210</v>
      </c>
      <c r="BG4" s="1" t="s">
        <v>396</v>
      </c>
      <c r="BH4" s="1" t="s">
        <v>499</v>
      </c>
      <c r="BI4" s="1" t="s">
        <v>486</v>
      </c>
      <c r="BJ4" s="1" t="s">
        <v>97</v>
      </c>
      <c r="BK4" s="1" t="s">
        <v>355</v>
      </c>
      <c r="BL4" s="1" t="s">
        <v>1123</v>
      </c>
      <c r="BM4" s="1" t="s">
        <v>498</v>
      </c>
      <c r="BN4" s="1" t="s">
        <v>27</v>
      </c>
      <c r="CI4" t="s">
        <v>626</v>
      </c>
      <c r="DL4"/>
      <c r="DQ4" s="44"/>
      <c r="DW4" s="121">
        <v>0</v>
      </c>
      <c r="DX4" s="121">
        <v>0</v>
      </c>
      <c r="DY4" s="123">
        <v>0</v>
      </c>
      <c r="DZ4" s="121">
        <v>0</v>
      </c>
      <c r="EA4" s="123">
        <v>0</v>
      </c>
      <c r="EB4" s="121">
        <v>0</v>
      </c>
      <c r="EC4" s="123">
        <v>0</v>
      </c>
      <c r="ED4" s="121">
        <v>0</v>
      </c>
      <c r="EE4" s="123">
        <v>0</v>
      </c>
      <c r="EF4" s="121">
        <v>0</v>
      </c>
      <c r="EG4" s="123">
        <v>0</v>
      </c>
      <c r="EH4" s="121">
        <v>0</v>
      </c>
      <c r="EI4" s="123">
        <v>0</v>
      </c>
      <c r="EJ4" s="121">
        <v>0</v>
      </c>
      <c r="EK4" s="123">
        <v>0</v>
      </c>
      <c r="EL4" s="121">
        <v>0</v>
      </c>
      <c r="EM4" s="123">
        <v>0</v>
      </c>
      <c r="EN4" s="121">
        <v>0</v>
      </c>
      <c r="EO4" s="123">
        <v>0</v>
      </c>
      <c r="EP4" s="121">
        <v>0</v>
      </c>
      <c r="EQ4" s="123">
        <v>0</v>
      </c>
      <c r="ER4" s="121">
        <v>0</v>
      </c>
      <c r="ES4" s="123">
        <v>0</v>
      </c>
      <c r="ET4" s="121">
        <v>0</v>
      </c>
      <c r="EU4" s="123">
        <v>0</v>
      </c>
      <c r="EV4" s="121">
        <v>0</v>
      </c>
      <c r="EW4" s="123">
        <v>0</v>
      </c>
      <c r="EX4" s="121">
        <v>0</v>
      </c>
      <c r="EZ4" t="str">
        <f>A4</f>
        <v>Hull</v>
      </c>
      <c r="FB4" s="237"/>
      <c r="FC4" s="237">
        <v>1</v>
      </c>
      <c r="FD4" s="237"/>
      <c r="FE4" s="237">
        <v>1</v>
      </c>
      <c r="FF4" t="str">
        <f>EZ4</f>
        <v>Hull</v>
      </c>
    </row>
    <row r="5" spans="1:162">
      <c r="A5" t="s">
        <v>600</v>
      </c>
      <c r="C5" s="63" t="str">
        <f xml:space="preserve"> IFERROR( Simple!T28, Tables!B121 )</f>
        <v>Unstreamlined</v>
      </c>
      <c r="D5" s="78" t="str">
        <f>BA5</f>
        <v>Partially streamlined</v>
      </c>
      <c r="E5" s="78"/>
      <c r="F5" s="78"/>
      <c r="G5" s="48"/>
      <c r="H5" s="26"/>
      <c r="I5" s="4">
        <f xml:space="preserve"> VLOOKUP( C5, Tables!B118:Q124, 2, 0 )</f>
        <v>4</v>
      </c>
      <c r="J5" s="3"/>
      <c r="K5" s="51"/>
      <c r="L5" s="51">
        <f xml:space="preserve"> (  IF( Hull&lt;=2400, AS4+AT4, Hull*0.02*BB5 + 2*(Config&gt;=4) + 2*(Config&gt;=7) ) * BM6 + BL6*Hull/100 - 0.5 * (Hull/100)  ) * ( 1 + 0.1*($S4=TL+1) )</f>
        <v>4.5</v>
      </c>
      <c r="M5" s="3"/>
      <c r="N5" s="48"/>
      <c r="O5" s="3"/>
      <c r="S5" s="223"/>
      <c r="Z5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</v>
      </c>
      <c r="AA5" s="160" t="str">
        <f t="shared" si="13"/>
        <v xml:space="preserve">
Config: Unstreamlined                                           4,5      </v>
      </c>
      <c r="AB5" s="161" t="str">
        <f xml:space="preserve"> CONCATENATE( A5 &amp; ": " &amp; C5 )</f>
        <v>Config: Unstreamlined</v>
      </c>
      <c r="AC5" s="160" t="str">
        <f t="shared" si="1"/>
        <v xml:space="preserve">          </v>
      </c>
      <c r="AD5" s="160" t="str">
        <f t="shared" si="2"/>
        <v xml:space="preserve">            </v>
      </c>
      <c r="AE5" s="162" t="str">
        <f t="shared" si="10"/>
        <v/>
      </c>
      <c r="AF5" s="160" t="str">
        <f t="shared" si="3"/>
        <v xml:space="preserve">            </v>
      </c>
      <c r="AG5" s="161" t="str">
        <f t="shared" si="11"/>
        <v/>
      </c>
      <c r="AH5" s="160" t="str">
        <f t="shared" si="4"/>
        <v xml:space="preserve">         </v>
      </c>
      <c r="AI5" s="163" t="str">
        <f t="shared" si="12"/>
        <v>4,5</v>
      </c>
      <c r="AJ5" s="160" t="str">
        <f t="shared" si="5"/>
        <v xml:space="preserve">      </v>
      </c>
      <c r="AK5" s="163" t="str">
        <f t="shared" ref="AK5:AK69" si="14" xml:space="preserve"> IF( AND(S5&gt;0,S5&lt;&gt;TL), CONCATENATE( "TL" &amp; S5  ), "" )</f>
        <v/>
      </c>
      <c r="AL5" s="163"/>
      <c r="AM5" s="120" t="str">
        <f>""</f>
        <v/>
      </c>
      <c r="AN5" s="120"/>
      <c r="AO5" s="120"/>
      <c r="AP5" s="120"/>
      <c r="AQ5" s="77">
        <v>2</v>
      </c>
      <c r="AR5" s="77">
        <v>3</v>
      </c>
      <c r="AS5" s="77">
        <v>4</v>
      </c>
      <c r="AT5" s="77">
        <v>5</v>
      </c>
      <c r="AU5" s="77">
        <v>6</v>
      </c>
      <c r="AV5" s="46"/>
      <c r="AW5" s="46"/>
      <c r="AX5" s="46"/>
      <c r="AY5" t="str">
        <f>VLOOKUP($I$5,Tables!$A$118:$Q$124,2)</f>
        <v>Unstreamlined</v>
      </c>
      <c r="AZ5">
        <f>VLOOKUP($I$5,Tables!$A$118:$Q$124,3)</f>
        <v>4</v>
      </c>
      <c r="BA5" s="5" t="str">
        <f>VLOOKUP($I$5,Tables!$A$118:$Q$124,4)</f>
        <v>Partially streamlined</v>
      </c>
      <c r="BB5" s="85">
        <f>VLOOKUP($I$5,Tables!$A$118:$Q$124, 5 )</f>
        <v>1.5</v>
      </c>
      <c r="BC5" s="77">
        <f>VLOOKUP($I$5,Tables!$A$118:$Q$124, 6 )</f>
        <v>9</v>
      </c>
      <c r="BD5" s="77">
        <f>VLOOKUP($I$5,Tables!$A$118:$Q$124, 7 )</f>
        <v>-1</v>
      </c>
      <c r="BE5" s="77">
        <f>VLOOKUP($I$5,Tables!$A$118:$Q$124, 8 )</f>
        <v>0</v>
      </c>
      <c r="BF5" s="77">
        <f>VLOOKUP($I$5,Tables!$A$118:$Q$124, 9 )</f>
        <v>0.5</v>
      </c>
      <c r="BG5" s="77">
        <f>VLOOKUP($I$5,Tables!$A$118:$Q$124, 10 )</f>
        <v>0</v>
      </c>
      <c r="BH5" s="77">
        <f>VLOOKUP($I$5,Tables!$A$118:$Q$124, 11 )</f>
        <v>0</v>
      </c>
      <c r="BI5" s="77">
        <f>VLOOKUP($I$5,Tables!$A$118:$Q$124, 12 )</f>
        <v>0</v>
      </c>
      <c r="BJ5" s="77">
        <f>VLOOKUP($I$5,Tables!$A$118:$Q$124, 13 )</f>
        <v>0</v>
      </c>
      <c r="BK5" s="77">
        <f>VLOOKUP($I$5,Tables!$A$118:$Q$124, 14 )</f>
        <v>0</v>
      </c>
      <c r="BL5" s="77">
        <f>VLOOKUP($I$5,Tables!$A$118:$Q$124, 15 )</f>
        <v>0</v>
      </c>
      <c r="BM5" s="77">
        <f>VLOOKUP($I$5,Tables!$A$118:$Q$124, 16 )</f>
        <v>0</v>
      </c>
      <c r="BN5" s="18" t="s">
        <v>539</v>
      </c>
      <c r="BO5" s="18" t="s">
        <v>313</v>
      </c>
      <c r="BP5" s="18" t="s">
        <v>335</v>
      </c>
      <c r="BQ5" s="18" t="s">
        <v>745</v>
      </c>
      <c r="BR5" s="18" t="s">
        <v>995</v>
      </c>
      <c r="BS5" s="18" t="s">
        <v>381</v>
      </c>
      <c r="BT5" s="18" t="s">
        <v>736</v>
      </c>
      <c r="BU5" s="18" t="s">
        <v>382</v>
      </c>
      <c r="BV5" s="18"/>
      <c r="BW5" s="88" t="s">
        <v>629</v>
      </c>
      <c r="BX5" s="18" t="s">
        <v>105</v>
      </c>
      <c r="BY5" s="18" t="s">
        <v>610</v>
      </c>
      <c r="BZ5" s="18" t="s">
        <v>930</v>
      </c>
      <c r="CA5" s="18" t="s">
        <v>422</v>
      </c>
      <c r="CB5" s="18" t="s">
        <v>803</v>
      </c>
      <c r="CC5" s="18" t="s">
        <v>481</v>
      </c>
      <c r="CD5" s="18" t="s">
        <v>864</v>
      </c>
      <c r="CE5" s="18" t="s">
        <v>107</v>
      </c>
      <c r="CF5" s="88"/>
      <c r="CG5" s="88" t="s">
        <v>313</v>
      </c>
      <c r="CH5" s="18"/>
      <c r="CI5" s="88" t="s">
        <v>745</v>
      </c>
      <c r="CJ5" s="18"/>
      <c r="CK5" s="88" t="s">
        <v>381</v>
      </c>
      <c r="CL5" s="88"/>
      <c r="CM5" s="88" t="s">
        <v>382</v>
      </c>
      <c r="CO5" s="88"/>
      <c r="CP5" s="1" t="s">
        <v>432</v>
      </c>
      <c r="CQ5" s="88" t="s">
        <v>925</v>
      </c>
      <c r="CR5" s="1" t="s">
        <v>295</v>
      </c>
      <c r="CS5" s="88" t="s">
        <v>926</v>
      </c>
      <c r="DL5"/>
      <c r="DQ5" s="44"/>
      <c r="DW5" s="121">
        <f xml:space="preserve"> SUM( DX$4:DX5, -DX5 )</f>
        <v>0</v>
      </c>
      <c r="DX5" s="121">
        <v>0</v>
      </c>
      <c r="DY5" s="123">
        <f xml:space="preserve"> SUM( DZ$4:DZ5, -DZ5 )</f>
        <v>0</v>
      </c>
      <c r="DZ5" s="121">
        <v>0</v>
      </c>
      <c r="EA5" s="123">
        <f xml:space="preserve"> SUM( EB$4:EB5, -EB5 )</f>
        <v>0</v>
      </c>
      <c r="EB5" s="121">
        <v>0</v>
      </c>
      <c r="EC5" s="123">
        <f xml:space="preserve"> SUM( ED$4:ED5, -ED5 )</f>
        <v>0</v>
      </c>
      <c r="ED5" s="121">
        <v>0</v>
      </c>
      <c r="EE5" s="123">
        <f xml:space="preserve"> SUM( EF$4:EF5, -EF5 )</f>
        <v>0</v>
      </c>
      <c r="EF5" s="121">
        <v>0</v>
      </c>
      <c r="EG5" s="123">
        <f xml:space="preserve"> SUM( EH$4:EH5, -EH5 )</f>
        <v>0</v>
      </c>
      <c r="EH5" s="121">
        <v>0</v>
      </c>
      <c r="EI5" s="123">
        <f xml:space="preserve"> SUM( EJ$4:EJ5, -EJ5 )</f>
        <v>0</v>
      </c>
      <c r="EJ5" s="121">
        <v>0</v>
      </c>
      <c r="EK5" s="123">
        <f xml:space="preserve"> SUM( EL$4:EL5, -EL5 )</f>
        <v>0</v>
      </c>
      <c r="EL5" s="121">
        <v>0</v>
      </c>
      <c r="EM5" s="123">
        <f xml:space="preserve"> SUM( EN$4:EN5, -EN5 )</f>
        <v>0</v>
      </c>
      <c r="EN5" s="121">
        <v>0</v>
      </c>
      <c r="EO5" s="123">
        <f xml:space="preserve"> SUM( EP$4:EP5, -EP5 )</f>
        <v>0</v>
      </c>
      <c r="EP5" s="121">
        <v>0</v>
      </c>
      <c r="EQ5" s="123">
        <f xml:space="preserve"> SUM( ER$4:ER5, -ER5 )</f>
        <v>0</v>
      </c>
      <c r="ER5" s="121">
        <v>0</v>
      </c>
      <c r="ES5" s="123">
        <f xml:space="preserve"> SUM( ET$4:ET5, -ET5 )</f>
        <v>0</v>
      </c>
      <c r="ET5" s="121">
        <v>0</v>
      </c>
      <c r="EU5" s="123">
        <f xml:space="preserve"> SUM( EV$4:EV5, -EV5 )</f>
        <v>0</v>
      </c>
      <c r="EV5" s="121">
        <v>0</v>
      </c>
      <c r="EW5" s="123">
        <f xml:space="preserve"> SUM( EX$4:EX5, -EX5 )</f>
        <v>0</v>
      </c>
      <c r="EX5" s="121">
        <v>0</v>
      </c>
      <c r="EZ5" t="str">
        <f t="shared" ref="EZ5:EZ72" si="15">A5</f>
        <v>Config</v>
      </c>
      <c r="FB5" s="237">
        <f xml:space="preserve"> SUM( FC$4:FC5, -FC5 )</f>
        <v>1</v>
      </c>
      <c r="FC5" s="237">
        <v>0</v>
      </c>
      <c r="FD5" s="237">
        <f xml:space="preserve"> SUM( FE$4:FE5, -FE5 )</f>
        <v>1</v>
      </c>
      <c r="FE5" s="237">
        <v>0</v>
      </c>
      <c r="FF5" t="str">
        <f t="shared" ref="FF5:FF69" si="16">EZ5</f>
        <v>Config</v>
      </c>
    </row>
    <row r="6" spans="1:162">
      <c r="A6" t="s">
        <v>536</v>
      </c>
      <c r="C6" s="63" t="str">
        <f xml:space="preserve"> IF( Military&gt;0,AR6, AQ6 )</f>
        <v>Plate</v>
      </c>
      <c r="D6" s="89" t="str">
        <f>BK6</f>
        <v/>
      </c>
      <c r="E6" s="151" t="str">
        <f xml:space="preserve"> CONCATENATE( "AV=", BM2, " ( ", BK2, " )" )</f>
        <v>AV=12 ( 120 vs Blast, 2400 vs Heat/Beam, 120 vs Pres, 1200 vs Rad, 0 vs EMP )</v>
      </c>
      <c r="F6" s="67"/>
      <c r="G6" s="48"/>
      <c r="H6" s="28"/>
      <c r="I6" s="4"/>
      <c r="J6" s="48"/>
      <c r="K6" s="51"/>
      <c r="L6" s="51"/>
      <c r="M6" s="48"/>
      <c r="N6" s="48"/>
      <c r="O6" s="48"/>
      <c r="S6" s="223"/>
      <c r="Z6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</v>
      </c>
      <c r="AA6" s="160" t="str">
        <f xml:space="preserve"> IF( OR(TRUE), CONCATENATE( newline &amp; AB6 &amp; AC6 &amp; AD6 &amp; AE6 &amp; AF6 &amp; AG6 &amp; AH6 &amp; AI6 &amp; AJ6 &amp; AK6 ), "" )</f>
        <v xml:space="preserve">
Structure: Plate Kinetic       AV=12 ( 120 vs Blast, 2400 vs Heat/Beam, 120 vs Pres, 1200 vs Rad, 0 vs EMP )      </v>
      </c>
      <c r="AB6" s="161" t="str">
        <f xml:space="preserve"> LEFT( CONCATENATE( A6 &amp; ": " &amp; C6 &amp; " " &amp; IF( C6=Tables!$B$141,"",C7) ), 30 )</f>
        <v>Structure: Plate Kinetic</v>
      </c>
      <c r="AC6" s="160" t="str">
        <f t="shared" si="1"/>
        <v xml:space="preserve">       </v>
      </c>
      <c r="AD6" s="160" t="str">
        <f xml:space="preserve"> CONCATENATE( E6 )</f>
        <v>AV=12 ( 120 vs Blast, 2400 vs Heat/Beam, 120 vs Pres, 1200 vs Rad, 0 vs EMP )</v>
      </c>
      <c r="AE6" s="162"/>
      <c r="AF6" s="160"/>
      <c r="AG6" s="161"/>
      <c r="AH6" s="160"/>
      <c r="AI6" s="163"/>
      <c r="AJ6" s="160" t="str">
        <f t="shared" si="5"/>
        <v xml:space="preserve">      </v>
      </c>
      <c r="AK6" s="163" t="str">
        <f t="shared" si="14"/>
        <v/>
      </c>
      <c r="AL6" s="163"/>
      <c r="AM6" s="120" t="str">
        <f>""</f>
        <v/>
      </c>
      <c r="AN6" s="120"/>
      <c r="AO6" s="120"/>
      <c r="AP6" s="120"/>
      <c r="AQ6" s="77" t="str">
        <f xml:space="preserve"> VLOOKUP(  VLOOKUP( $C5, Tables!$B$128:$G$134, AQ5, 0 ), Tables!$A$138:$B$143, 2 )</f>
        <v>Plate</v>
      </c>
      <c r="AR6" s="77" t="str">
        <f xml:space="preserve"> VLOOKUP(  VLOOKUP( $C5, Tables!$B$128:$G$134, AR5, 0 ), Tables!$A$138:$B$143, 2 )</f>
        <v>Charged</v>
      </c>
      <c r="AS6" s="77" t="str">
        <f xml:space="preserve"> VLOOKUP(  VLOOKUP( $C5, Tables!$B$128:$G$134, AS5, 0 ), Tables!$A$138:$B$143, 2 )</f>
        <v>FeNi</v>
      </c>
      <c r="AT6" s="77" t="str">
        <f xml:space="preserve"> VLOOKUP(  VLOOKUP( $C5, Tables!$B$128:$G$134, AT5, 0 ), Tables!$A$138:$B$143, 2 )</f>
        <v>Polymer</v>
      </c>
      <c r="AU6" s="77" t="str">
        <f xml:space="preserve"> VLOOKUP(  VLOOKUP( $C5, Tables!$B$128:$G$134, AU5, 0 ), Tables!$A$138:$B$143, 2 )</f>
        <v>Organic</v>
      </c>
      <c r="AV6" s="46"/>
      <c r="AW6" s="46" t="str">
        <f xml:space="preserve"> VLOOKUP( $C$6, Tables!$B$147:$T$152, MIN( MAX( 6, $S4-AW8 ), 22 )-3, 0 )</f>
        <v>Kinetic</v>
      </c>
      <c r="AX6" s="186">
        <f>VLOOKUP( $C6, Tables!$B$138:$AB$143, 27, 0  )</f>
        <v>1</v>
      </c>
      <c r="AY6" t="str">
        <f>VLOOKUP( $C6, Tables!$B$138:$L$143, 1, 0  )</f>
        <v>Plate</v>
      </c>
      <c r="AZ6">
        <f>VLOOKUP( $C6, Tables!$B$138:$L$143, 2, 0 )</f>
        <v>6</v>
      </c>
      <c r="BA6">
        <f>VLOOKUP( $C6, Tables!$B$138:$L$143, 3, 0 )</f>
        <v>0</v>
      </c>
      <c r="BB6" s="8">
        <f>VLOOKUP( $C6, Tables!$B$138:$L$143, 4, 0 )</f>
        <v>1</v>
      </c>
      <c r="BC6">
        <f>VLOOKUP( $C6, Tables!$B$138:$L$143, 5, 0 )</f>
        <v>1</v>
      </c>
      <c r="BD6">
        <f>VLOOKUP( $C6, Tables!$B$138:$L$143, 6, 0 )</f>
        <v>1</v>
      </c>
      <c r="BE6">
        <f>VLOOKUP( $C6, Tables!$B$138:$L$143, 7, 0 )</f>
        <v>0</v>
      </c>
      <c r="BF6">
        <f>VLOOKUP( $C6, Tables!$B$138:$L$143, 8, 0 )</f>
        <v>1</v>
      </c>
      <c r="BG6">
        <f>VLOOKUP( $C6, Tables!$B$138:$L$143, 8, 0 )</f>
        <v>1</v>
      </c>
      <c r="BH6">
        <f>VLOOKUP( $C6, Tables!$B$138:$L$143, 9, 0 )</f>
        <v>1</v>
      </c>
      <c r="BI6">
        <f>VLOOKUP( $C6, Tables!$B$138:$AA$143, 10, 0 )</f>
        <v>1</v>
      </c>
      <c r="BJ6">
        <f>VLOOKUP( $C6, Tables!$B$138:$AA$143, 11, 0 )</f>
        <v>0</v>
      </c>
      <c r="BK6" t="str">
        <f>VLOOKUP( $C6, Tables!$B$138:$AA$143, 12, 0 )</f>
        <v/>
      </c>
      <c r="BL6">
        <f>VLOOKUP( $C6, Tables!$B$138:$AA$143, 13, 0 )</f>
        <v>0</v>
      </c>
      <c r="BM6">
        <f>VLOOKUP( $C6, Tables!$B$138:$AA$143, 14, 0 )</f>
        <v>1</v>
      </c>
      <c r="BN6">
        <f>VLOOKUP( $C6, Tables!$B$138:$AA$143,15, 0 )</f>
        <v>0</v>
      </c>
      <c r="BO6">
        <f>VLOOKUP( $C6, Tables!$B$138:$AA$143, 16, 0 )</f>
        <v>10</v>
      </c>
      <c r="BP6">
        <f>VLOOKUP( $C6, Tables!$B$138:$AA$143, 17, 0 )</f>
        <v>0</v>
      </c>
      <c r="BQ6">
        <f>VLOOKUP( $C6, Tables!$B$138:$AA$143, 18, 0 )</f>
        <v>1</v>
      </c>
      <c r="BR6">
        <f>VLOOKUP( $C6, Tables!$B$138:$AA$143, 19, 0 ) * 0</f>
        <v>0</v>
      </c>
      <c r="BS6">
        <f>VLOOKUP( $C6, Tables!$B$138:$AA$143, 20, 0 ) * 0</f>
        <v>0</v>
      </c>
      <c r="BT6">
        <f>VLOOKUP( $C6, Tables!$B$138:$AA$143,21, 0 ) * 0</f>
        <v>0</v>
      </c>
      <c r="BU6">
        <f>VLOOKUP( $C6, Tables!$B$138:$AA$143, 22, 0 ) * 0</f>
        <v>0</v>
      </c>
      <c r="BW6">
        <f>VLOOKUP( $C6, Tables!$B$138:$AA$143, 22, 0 )</f>
        <v>10</v>
      </c>
      <c r="BX6">
        <f>VLOOKUP( $C6, Tables!$B$138:$AA$143, 23, 0 )</f>
        <v>0</v>
      </c>
      <c r="BY6">
        <f>VLOOKUP( $C6, Tables!$B$138:$AA$143,24, 0 )</f>
        <v>100</v>
      </c>
      <c r="BZ6">
        <f>VLOOKUP( $C6, Tables!$B$138:$AA$143, 25, 0 )</f>
        <v>0</v>
      </c>
      <c r="CA6">
        <f>VLOOKUP( $C6, Tables!$B$138:$AA$143, 26, 0 )</f>
        <v>10</v>
      </c>
      <c r="DL6"/>
      <c r="DQ6" s="44"/>
      <c r="DW6" s="123">
        <f xml:space="preserve"> SUM( DX$4:DX6, -DX6 )</f>
        <v>0</v>
      </c>
      <c r="DX6" s="121">
        <v>0</v>
      </c>
      <c r="DY6" s="123">
        <f xml:space="preserve"> SUM( DZ$4:DZ6, -DZ6 )</f>
        <v>0</v>
      </c>
      <c r="DZ6" s="121">
        <v>0</v>
      </c>
      <c r="EA6" s="123">
        <f xml:space="preserve"> SUM( EB$4:EB6, -EB6 )</f>
        <v>0</v>
      </c>
      <c r="EB6" s="121">
        <v>0</v>
      </c>
      <c r="EC6" s="123">
        <f xml:space="preserve"> SUM( ED$4:ED6, -ED6 )</f>
        <v>0</v>
      </c>
      <c r="ED6" s="121">
        <v>0</v>
      </c>
      <c r="EE6" s="123">
        <f xml:space="preserve"> SUM( EF$4:EF6, -EF6 )</f>
        <v>0</v>
      </c>
      <c r="EF6" s="121">
        <v>0</v>
      </c>
      <c r="EG6" s="123">
        <f xml:space="preserve"> SUM( EH$4:EH6, -EH6 )</f>
        <v>0</v>
      </c>
      <c r="EH6" s="121">
        <v>0</v>
      </c>
      <c r="EI6" s="123">
        <f xml:space="preserve"> SUM( EJ$4:EJ6, -EJ6 )</f>
        <v>0</v>
      </c>
      <c r="EJ6" s="121">
        <v>0</v>
      </c>
      <c r="EK6" s="123">
        <f xml:space="preserve"> SUM( EL$4:EL6, -EL6 )</f>
        <v>0</v>
      </c>
      <c r="EL6" s="121">
        <v>0</v>
      </c>
      <c r="EM6" s="123">
        <f xml:space="preserve"> SUM( EN$4:EN6, -EN6 )</f>
        <v>0</v>
      </c>
      <c r="EN6" s="121">
        <v>0</v>
      </c>
      <c r="EO6" s="123">
        <f xml:space="preserve"> SUM( EP$4:EP6, -EP6 )</f>
        <v>0</v>
      </c>
      <c r="EP6" s="121">
        <v>0</v>
      </c>
      <c r="EQ6" s="123">
        <f xml:space="preserve"> SUM( ER$4:ER6, -ER6 )</f>
        <v>0</v>
      </c>
      <c r="ER6" s="121">
        <v>0</v>
      </c>
      <c r="ES6" s="123">
        <f xml:space="preserve"> SUM( ET$4:ET6, -ET6 )</f>
        <v>0</v>
      </c>
      <c r="ET6" s="121">
        <v>0</v>
      </c>
      <c r="EU6" s="123">
        <f xml:space="preserve"> SUM( EV$4:EV6, -EV6 )</f>
        <v>0</v>
      </c>
      <c r="EV6" s="121">
        <v>0</v>
      </c>
      <c r="EW6" s="123">
        <f xml:space="preserve"> SUM( EX$4:EX6, -EX6 )</f>
        <v>0</v>
      </c>
      <c r="EX6" s="121">
        <v>0</v>
      </c>
      <c r="EZ6" t="str">
        <f t="shared" si="15"/>
        <v>Structure</v>
      </c>
      <c r="FB6" s="237">
        <f xml:space="preserve"> SUM( FC$4:FC6, -FC6 )</f>
        <v>1</v>
      </c>
      <c r="FC6" s="237">
        <v>0</v>
      </c>
      <c r="FD6" s="237">
        <f xml:space="preserve"> SUM( FE$4:FE6, -FE6 )</f>
        <v>1</v>
      </c>
      <c r="FE6" s="237">
        <v>0</v>
      </c>
      <c r="FF6" t="str">
        <f t="shared" si="16"/>
        <v>Structure</v>
      </c>
    </row>
    <row r="7" spans="1:162">
      <c r="A7" t="s">
        <v>888</v>
      </c>
      <c r="C7" s="123" t="str">
        <f xml:space="preserve"> IF( AW6=Tables!$D$152, "TL Invalid structure", AW6 )</f>
        <v>Kinetic</v>
      </c>
      <c r="D7" s="63" t="str">
        <f xml:space="preserve"> IF( Military&lt;2, Tables!$B$157, Tables!$B$158 )</f>
        <v>Reflec</v>
      </c>
      <c r="E7" s="152" t="str">
        <f xml:space="preserve"> CONCATENATE( "AV=" &amp; IF(BM2&gt;=100," ","") &amp; " 0 ( ", IF(CC7&gt;0, CONCATENATE(CC7," vs Beam "),""), IF(BY7&gt;0, CONCATENATE(BY7," vs Heat/Beam "),""), IF(CE7&gt;0, CONCATENATE(CE7," vs Trac "),""), " )" )</f>
        <v>AV= 0 ( 1200 vs Heat/Beam  )</v>
      </c>
      <c r="F7" s="66"/>
      <c r="G7" s="48"/>
      <c r="H7" s="28"/>
      <c r="I7" s="65"/>
      <c r="J7" s="48"/>
      <c r="K7" s="51"/>
      <c r="L7" s="51"/>
      <c r="M7" s="48"/>
      <c r="N7" s="48"/>
      <c r="O7" s="48"/>
      <c r="S7" s="223"/>
      <c r="Z7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</v>
      </c>
      <c r="AA7" s="160" t="str">
        <f t="shared" ref="AA7:AA8" si="17" xml:space="preserve"> IF( OR(TRUE), CONCATENATE( newline &amp; AB7 &amp; AC7 &amp; AD7 &amp; AE7 &amp; AF7 &amp; AG7 &amp; AH7 &amp; AI7 &amp; AJ7 &amp; AK7 ), "" )</f>
        <v xml:space="preserve">
Coating: Reflec                AV= 0 ( 1200 vs Heat/Beam  )      </v>
      </c>
      <c r="AB7" s="161" t="str">
        <f xml:space="preserve"> CONCATENATE( A7 &amp; ": " &amp; D7 )</f>
        <v>Coating: Reflec</v>
      </c>
      <c r="AC7" s="160" t="str">
        <f t="shared" si="1"/>
        <v xml:space="preserve">                </v>
      </c>
      <c r="AD7" s="160" t="str">
        <f xml:space="preserve"> CONCATENATE( E7 )</f>
        <v>AV= 0 ( 1200 vs Heat/Beam  )</v>
      </c>
      <c r="AE7" s="162"/>
      <c r="AF7" s="160"/>
      <c r="AG7" s="161"/>
      <c r="AH7" s="160"/>
      <c r="AI7" s="163"/>
      <c r="AJ7" s="160" t="str">
        <f t="shared" si="5"/>
        <v xml:space="preserve">      </v>
      </c>
      <c r="AK7" s="163" t="str">
        <f t="shared" si="14"/>
        <v/>
      </c>
      <c r="AL7" s="163"/>
      <c r="AM7" s="120" t="str">
        <f>""</f>
        <v/>
      </c>
      <c r="AN7" s="120"/>
      <c r="AO7" s="120"/>
      <c r="AP7" s="120"/>
      <c r="AW7" s="1" t="s">
        <v>198</v>
      </c>
      <c r="AX7" s="1" t="s">
        <v>981</v>
      </c>
      <c r="AY7" s="1" t="s">
        <v>388</v>
      </c>
      <c r="AZ7" s="1" t="s">
        <v>869</v>
      </c>
      <c r="BB7" s="1" t="s">
        <v>644</v>
      </c>
      <c r="BI7" t="s">
        <v>867</v>
      </c>
      <c r="BS7" s="1" t="s">
        <v>79</v>
      </c>
      <c r="BU7" s="1" t="s">
        <v>79</v>
      </c>
      <c r="BY7">
        <f xml:space="preserve"> $S4 * VLOOKUP( $D7, Tables!$B$156:$E$159, 3, 0 )</f>
        <v>1200</v>
      </c>
      <c r="CC7">
        <f xml:space="preserve"> $S4 * VLOOKUP( $D7, Tables!$B$156:$E$159, 2, 0 )</f>
        <v>0</v>
      </c>
      <c r="CE7">
        <f xml:space="preserve"> $S4 * VLOOKUP( $D7, Tables!$B$156:$E$159, 4, 0 )</f>
        <v>0</v>
      </c>
      <c r="DL7"/>
      <c r="DQ7" s="44"/>
      <c r="DW7" s="123">
        <f xml:space="preserve"> SUM( DX$4:DX7, -DX7 )</f>
        <v>0</v>
      </c>
      <c r="DX7" s="121">
        <v>0</v>
      </c>
      <c r="DY7" s="123">
        <f xml:space="preserve"> SUM( DZ$4:DZ7, -DZ7 )</f>
        <v>0</v>
      </c>
      <c r="DZ7" s="121">
        <v>0</v>
      </c>
      <c r="EA7" s="123">
        <f xml:space="preserve"> SUM( EB$4:EB7, -EB7 )</f>
        <v>0</v>
      </c>
      <c r="EB7" s="121">
        <v>0</v>
      </c>
      <c r="EC7" s="123">
        <f xml:space="preserve"> SUM( ED$4:ED7, -ED7 )</f>
        <v>0</v>
      </c>
      <c r="ED7" s="121">
        <v>0</v>
      </c>
      <c r="EE7" s="123">
        <f xml:space="preserve"> SUM( EF$4:EF7, -EF7 )</f>
        <v>0</v>
      </c>
      <c r="EF7" s="121">
        <v>0</v>
      </c>
      <c r="EG7" s="123">
        <f xml:space="preserve"> SUM( EH$4:EH7, -EH7 )</f>
        <v>0</v>
      </c>
      <c r="EH7" s="121">
        <v>0</v>
      </c>
      <c r="EI7" s="123">
        <f xml:space="preserve"> SUM( EJ$4:EJ7, -EJ7 )</f>
        <v>0</v>
      </c>
      <c r="EJ7" s="121">
        <v>0</v>
      </c>
      <c r="EK7" s="123">
        <f xml:space="preserve"> SUM( EL$4:EL7, -EL7 )</f>
        <v>0</v>
      </c>
      <c r="EL7" s="121">
        <v>0</v>
      </c>
      <c r="EM7" s="123">
        <f xml:space="preserve"> SUM( EN$4:EN7, -EN7 )</f>
        <v>0</v>
      </c>
      <c r="EN7" s="121">
        <v>0</v>
      </c>
      <c r="EO7" s="123">
        <f xml:space="preserve"> SUM( EP$4:EP7, -EP7 )</f>
        <v>0</v>
      </c>
      <c r="EP7" s="121">
        <v>0</v>
      </c>
      <c r="EQ7" s="123">
        <f xml:space="preserve"> SUM( ER$4:ER7, -ER7 )</f>
        <v>0</v>
      </c>
      <c r="ER7" s="121">
        <v>0</v>
      </c>
      <c r="ES7" s="123">
        <f xml:space="preserve"> SUM( ET$4:ET7, -ET7 )</f>
        <v>0</v>
      </c>
      <c r="ET7" s="121">
        <v>0</v>
      </c>
      <c r="EU7" s="123">
        <f xml:space="preserve"> SUM( EV$4:EV7, -EV7 )</f>
        <v>0</v>
      </c>
      <c r="EV7" s="121">
        <v>0</v>
      </c>
      <c r="EW7" s="123">
        <f xml:space="preserve"> SUM( EX$4:EX7, -EX7 )</f>
        <v>0</v>
      </c>
      <c r="EX7" s="121">
        <v>0</v>
      </c>
      <c r="EZ7" t="str">
        <f t="shared" si="15"/>
        <v>Coating</v>
      </c>
      <c r="FB7" s="237">
        <f xml:space="preserve"> SUM( FC$4:FC7, -FC7 )</f>
        <v>1</v>
      </c>
      <c r="FC7" s="237">
        <v>0</v>
      </c>
      <c r="FD7" s="237">
        <f xml:space="preserve"> SUM( FE$4:FE7, -FE7 )</f>
        <v>1</v>
      </c>
      <c r="FE7" s="237">
        <v>0</v>
      </c>
      <c r="FF7" t="str">
        <f t="shared" si="16"/>
        <v>Coating</v>
      </c>
    </row>
    <row r="8" spans="1:162">
      <c r="A8" t="s">
        <v>522</v>
      </c>
      <c r="B8" s="8" t="str">
        <f>AV8</f>
        <v>Std</v>
      </c>
      <c r="C8" s="15" t="str">
        <f>$C$6</f>
        <v>Plate</v>
      </c>
      <c r="D8" s="63" t="str">
        <f xml:space="preserve"> IF( Military&gt;0, IF( Military&gt;1, Tables!$B$166, Tables!$B$166 ), Tables!$B$167 )</f>
        <v>Anti-Rad</v>
      </c>
      <c r="E8" s="66"/>
      <c r="F8" s="66"/>
      <c r="G8" s="48">
        <v>1</v>
      </c>
      <c r="H8" s="57">
        <v>0</v>
      </c>
      <c r="I8" s="4">
        <f>BM8</f>
        <v>12</v>
      </c>
      <c r="J8" s="48">
        <f xml:space="preserve"> ROUNDDOWN( G8, 0 )</f>
        <v>1</v>
      </c>
      <c r="K8" s="51"/>
      <c r="L8" s="151" t="str">
        <f xml:space="preserve"> IF( I8&gt;0, CONCATENATE( "  AV=",CONCATENATE( REPT(" ",IFERROR( ROUNDDOWN( LOG( MAX(I$8:I$13), 10 ), 0 ), 0 ) - IFERROR( ROUNDDOWN( LOG( I8, 10 ), 0 ), 0 ))),I8," ( ",BK8," )" ), "" )</f>
        <v xml:space="preserve">  AV=12 ( 120 vs Blast, 1200 vs H/B, 1200 vs Rad, 0 vs EMP )</v>
      </c>
      <c r="M8" s="48"/>
      <c r="N8" s="48"/>
      <c r="O8" s="48"/>
      <c r="S8" s="223"/>
      <c r="V8" s="240"/>
      <c r="Z8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</v>
      </c>
      <c r="AA8" s="160" t="str">
        <f t="shared" si="17"/>
        <v xml:space="preserve">
Armour Std Anti-Rad                      12                          AV=12 ( 120 vs Blast, 1200 vs H/B, 1200 vs Rad, 0 vs EMP )      </v>
      </c>
      <c r="AB8" s="161" t="str">
        <f xml:space="preserve"> CONCATENATE( LEFT(A8,6) &amp; " " &amp; B8 &amp; " " &amp; D8 )</f>
        <v>Armour Std Anti-Rad</v>
      </c>
      <c r="AC8" s="160" t="str">
        <f t="shared" si="1"/>
        <v xml:space="preserve">            </v>
      </c>
      <c r="AD8" s="160" t="str">
        <f t="shared" si="2"/>
        <v xml:space="preserve">          </v>
      </c>
      <c r="AE8" s="162" t="str">
        <f xml:space="preserve"> CONCATENATE( I8 )</f>
        <v>12</v>
      </c>
      <c r="AF8" s="160" t="str">
        <f t="shared" si="3"/>
        <v xml:space="preserve">            </v>
      </c>
      <c r="AG8" s="161" t="str">
        <f t="shared" si="11"/>
        <v/>
      </c>
      <c r="AH8" s="160" t="str">
        <f xml:space="preserve"> CONCATENATE( REPT(" ",MAX(0,12-LEN(""))) )</f>
        <v xml:space="preserve">            </v>
      </c>
      <c r="AI8" s="163" t="str">
        <f t="shared" si="12"/>
        <v xml:space="preserve">  AV=12 ( 120 vs Blast, 1200 vs H/B, 1200 vs Rad, 0 vs EMP )</v>
      </c>
      <c r="AJ8" s="160" t="str">
        <f t="shared" si="5"/>
        <v xml:space="preserve">      </v>
      </c>
      <c r="AK8" s="163" t="str">
        <f t="shared" si="14"/>
        <v/>
      </c>
      <c r="AL8" s="163"/>
      <c r="AM8" s="120" t="str">
        <f>""</f>
        <v/>
      </c>
      <c r="AN8" s="120"/>
      <c r="AO8" s="120"/>
      <c r="AP8" s="120"/>
      <c r="AQ8" t="s">
        <v>397</v>
      </c>
      <c r="AR8" s="77">
        <f xml:space="preserve"> MIN( H8, $S4-AZ6, IF( AND( $S4-AZ6=1, H8&lt;&gt;1, SUM(G9:G13)&gt;0 ), 0.5, 99 ) )</f>
        <v>0</v>
      </c>
      <c r="AT8" t="s">
        <v>378</v>
      </c>
      <c r="AU8" s="8" t="str">
        <f>VLOOKUP( $AR8, Tables!$A$184:$H$193,  2 )</f>
        <v>Standard</v>
      </c>
      <c r="AV8" s="8" t="str">
        <f>VLOOKUP( $AR8, Tables!$A$184:$H$193,  3 )</f>
        <v>Std</v>
      </c>
      <c r="AW8" s="52">
        <f>VLOOKUP( $AR8, Tables!$A$184:$H$193, 4 )</f>
        <v>0</v>
      </c>
      <c r="AX8" s="68">
        <f xml:space="preserve"> VLOOKUP( $AR8, Tables!$A$184:$Q$193, 10 ) * 0</f>
        <v>0</v>
      </c>
      <c r="AY8" s="8">
        <f>VLOOKUP( $AR8, Tables!$A$184:$Q$193, 11 ) * 0 + 1</f>
        <v>1</v>
      </c>
      <c r="AZ8" s="8">
        <f>VLOOKUP( $AR8, Tables!$A$184:$Q$193, 12 ) * 0 + 1</f>
        <v>1</v>
      </c>
      <c r="BB8" s="90">
        <f xml:space="preserve"> $S4 - AW8</f>
        <v>12</v>
      </c>
      <c r="BI8">
        <v>1</v>
      </c>
      <c r="BJ8" s="96"/>
      <c r="BK8" s="96" t="str">
        <f xml:space="preserve"> LEFT( BL8, LEN( BL8 )-2 )</f>
        <v>120 vs Blast, 1200 vs H/B, 1200 vs Rad, 0 vs EMP</v>
      </c>
      <c r="BL8" s="68" t="str">
        <f xml:space="preserve"> CONCATENATE( BN8,BP8,BX8,BV8,BT8,BR8 )</f>
        <v xml:space="preserve">120 vs Blast, 1200 vs H/B, 1200 vs Rad, 0 vs EMP, </v>
      </c>
      <c r="BM8">
        <f xml:space="preserve"> ($J8) * MAX( 0,  ROUNDDOWN( ( $BA$6 + $S$4 * $BB$6 + $AX$8 + $AW$29*($BI8&gt;0) ) * IF($BI8&gt;0,$AX$29,1), 0 )  )</f>
        <v>12</v>
      </c>
      <c r="BN8" s="1" t="str">
        <f xml:space="preserve"> IF( $BM$2&lt;&gt;BO$2, CONCATENATE( REPT(" ",IFERROR( ROUNDDOWN( LOG( MAX(BO$8:BO$13), 10 ), 0 ), 0 ) - IFERROR( ROUNDDOWN( LOG( BO8, 10 ), 0 ), 0 )), BO8, " vs "&amp;BO$1&amp;", " ), "" )</f>
        <v xml:space="preserve">120 vs Blast, </v>
      </c>
      <c r="BO8">
        <f xml:space="preserve"> ($J8) * MAX( 0, MAX( CG8,  $S$4*BO$6+BN$6 ) + $AW$29*($BI8&gt;0) ) * IF($BI8&gt;0,$AX$29,1)</f>
        <v>120</v>
      </c>
      <c r="BP8" s="1" t="str">
        <f xml:space="preserve"> IF( $BM$2&lt;&gt;BQ$2, CONCATENATE( REPT(" ",IFERROR( ROUNDDOWN( LOG( MAX(BQ$8:BQ$13), 10 ), 0 ), 0 ) - IFERROR( ROUNDDOWN( LOG( BQ8, 10 ), 0 ), 0 )), BQ8, " vs "&amp;BQ$1&amp;", " ), "" )</f>
        <v/>
      </c>
      <c r="BQ8">
        <f xml:space="preserve"> ($J8) * MAX( 0, MAX( CI8,  $S$4*BQ$6+BP$6 ) + $AW$29*($BI8&gt;0) ) * IF($BI8&gt;0,$AX$29,1)</f>
        <v>12</v>
      </c>
      <c r="BR8" s="1" t="str">
        <f xml:space="preserve"> IF( TRUE, CONCATENATE( REPT(" ",IFERROR( ROUNDDOWN( LOG( MAX(BS$8:BS$13), 10 ), 0 ), 0 ) - IFERROR( ROUNDDOWN( LOG( BS8, 10 ), 0 ), 0 )), BS8, " vs "&amp;BS$1&amp;", " ), "" )</f>
        <v xml:space="preserve">0 vs EMP, </v>
      </c>
      <c r="BS8">
        <f xml:space="preserve"> ($J8) * MAX( 0, MAX( CK8,  $S$4*BS$6+BR$6 ) + $AW$29*($BI8&gt;0) ) * IF($BI8&gt;0,$AX$29,1)</f>
        <v>0</v>
      </c>
      <c r="BT8" s="1" t="str">
        <f xml:space="preserve"> IF( TRUE, CONCATENATE( REPT(" ",IFERROR( ROUNDDOWN( LOG( MAX(BU$8:BU$13), 10 ), 0 ), 0 ) - IFERROR( ROUNDDOWN( LOG( BU8, 10 ), 0 ), 0 )), BU8, " vs "&amp;BU$1&amp;", " ), "" )</f>
        <v xml:space="preserve">1200 vs Rad, </v>
      </c>
      <c r="BU8">
        <f xml:space="preserve"> ($J8) * MAX( 0, MAX( CM8,  $S$4*BU$6+BT$6 ) + $AW$29*($BI8&gt;0) ) * IF($BI8&gt;0,$AX$29,1)</f>
        <v>1200</v>
      </c>
      <c r="BV8" s="1" t="str">
        <f xml:space="preserve"> IF( ($BM8&lt;&gt;BW8)*0, CONCATENATE( IF(BW8&lt;1000," ",""), IF(BW8&lt;100," ",""), BW8, " vs Nuke, " ), "" )</f>
        <v/>
      </c>
      <c r="BW8">
        <f xml:space="preserve"> MAX( BM8, BO8, BS8, BU8 )</f>
        <v>1200</v>
      </c>
      <c r="BX8" s="1" t="str">
        <f xml:space="preserve"> IF( $BM$2&lt;&gt;BY$2, CONCATENATE( REPT(" ",IFERROR( ROUNDDOWN( LOG( MAX(BY$8:BY$13), 10 ), 0 ), 0 ) - IFERROR( ROUNDDOWN( LOG( BY8, 10 ), 0 ), 0 )), BY8, " vs "&amp;BY$1&amp;", " ), "" )</f>
        <v xml:space="preserve">1200 vs H/B, </v>
      </c>
      <c r="BY8">
        <f xml:space="preserve"> ($J8) * MAX( 0, MAX( CQ8,  $S$4*BY$6+BX$6 ) + $AW$29*($BI8&gt;0) ) * IF($BI8&gt;0,$AX$29,1)</f>
        <v>1200</v>
      </c>
      <c r="CA8">
        <f xml:space="preserve"> ($J8) * MAX( 0, MAX( CS8,  $S$4*CA$6+BZ$6 ) + $AW$29*($BI8&gt;0) ) * IF($BI8&gt;0,$AX$29,1)</f>
        <v>120</v>
      </c>
      <c r="CG8">
        <f xml:space="preserve"> ($G8&gt;0) * $S$4 * VLOOKUP( $D8, Tables!$B$163:$H$167, 2, 0 )</f>
        <v>12</v>
      </c>
      <c r="CI8">
        <f xml:space="preserve"> ($G8&gt;0) * $S$4 * VLOOKUP( $D8, Tables!$B$163:$F$167, 4, 0 )</f>
        <v>12</v>
      </c>
      <c r="CK8">
        <f xml:space="preserve"> ($G8&gt;0) * $S$4 * VLOOKUP( $D8, Tables!$B$163:$F$167, 3, 0 )</f>
        <v>0</v>
      </c>
      <c r="CM8">
        <f xml:space="preserve"> ($G8&gt;0) * $S$4 * VLOOKUP( $D8, Tables!$B$163:$F$167, 5, 0 )</f>
        <v>1200</v>
      </c>
      <c r="CP8">
        <f xml:space="preserve"> 1*(AND($C6&lt;&gt;Tables!$B$140,$C6&lt;&gt;Tables!$B$142))</f>
        <v>1</v>
      </c>
      <c r="CQ8">
        <f xml:space="preserve"> 0 * (CP8&gt;0) * ($G8&gt;0) * $S$4 * VLOOKUP( $D8, Tables!$B$163:$H$167, 6, 0 )</f>
        <v>0</v>
      </c>
      <c r="CR8">
        <f xml:space="preserve"> 1*(AND($C6&lt;&gt;Tables!$B$142))</f>
        <v>1</v>
      </c>
      <c r="CS8">
        <f xml:space="preserve"> 0 * (CR8&gt;0) * ($G8&gt;0) * $S$4 * VLOOKUP( $D8, Tables!$B$163:$H$167, 7, 0 )</f>
        <v>0</v>
      </c>
      <c r="DL8">
        <f ca="1" xml:space="preserve"> IF( $AV8=Tables!$C$189, 5, RANDBETWEEN(1,6)+RANDBETWEEN(1,6)-2 )</f>
        <v>7</v>
      </c>
      <c r="DM8">
        <f ca="1" xml:space="preserve"> IF( $AV8=Tables!$C$189, 0, RANDBETWEEN(1,6)-RANDBETWEEN(1,6)+ VLOOKUP( $AR8, Tables!$A$184:$Q$193,  14 ) )</f>
        <v>1</v>
      </c>
      <c r="DN8">
        <f ca="1" xml:space="preserve"> IF( $AV8=Tables!$C$189, 0, RANDBETWEEN(1,6)-RANDBETWEEN(1,6)+ VLOOKUP( $AR8, Tables!$A$184:$Q$193,  15 ) )</f>
        <v>0</v>
      </c>
      <c r="DO8">
        <f ca="1" xml:space="preserve"> IF( $AV8=Tables!$C$189, 0, RANDBETWEEN(1,6)-RANDBETWEEN(1,6)+ VLOOKUP( $AR8, Tables!$A$184:$Q$193,  16 ) )</f>
        <v>0</v>
      </c>
      <c r="DP8">
        <f ca="1" xml:space="preserve"> IF( $AV8=Tables!$C$189, 0, RANDBETWEEN(1,6)-RANDBETWEEN(1,6)+ VLOOKUP( $AR8, Tables!$A$184:$Q$193,  17 ) )</f>
        <v>-3</v>
      </c>
      <c r="DQ8" s="44" t="str">
        <f ca="1" xml:space="preserve"> VLOOKUP( $DL8,Tables!$B$2:$C$36,2)</f>
        <v>7</v>
      </c>
      <c r="DR8" t="str">
        <f ca="1" xml:space="preserve"> IF( DM8&lt;0, CONCATENATE( DM8 ), CONCATENATE( " ", DM8 ) )</f>
        <v xml:space="preserve"> 1</v>
      </c>
      <c r="DS8" t="str">
        <f t="shared" ref="DS8" ca="1" si="18" xml:space="preserve"> IF( DN8&lt;0, CONCATENATE( DN8 ), CONCATENATE( " ", DN8 ) )</f>
        <v xml:space="preserve"> 0</v>
      </c>
      <c r="DT8" t="str">
        <f t="shared" ref="DT8" ca="1" si="19" xml:space="preserve"> IF( DO8&lt;0, CONCATENATE( DO8 ), CONCATENATE( " ", DO8 ) )</f>
        <v xml:space="preserve"> 0</v>
      </c>
      <c r="DU8" t="str">
        <f t="shared" ref="DU8" ca="1" si="20" xml:space="preserve"> IF( DP8&lt;0, CONCATENATE( DP8 ), CONCATENATE( " ", DP8 ) )</f>
        <v>-3</v>
      </c>
      <c r="DW8" s="123">
        <f xml:space="preserve"> SUM( DX$4:DX8, -DX8 )</f>
        <v>0</v>
      </c>
      <c r="DX8" s="121">
        <v>0</v>
      </c>
      <c r="DY8" s="123">
        <f xml:space="preserve"> SUM( DZ$4:DZ8, -DZ8 )</f>
        <v>0</v>
      </c>
      <c r="DZ8" s="121">
        <v>0</v>
      </c>
      <c r="EA8" s="123">
        <f xml:space="preserve"> SUM( EB$4:EB8, -EB8 )</f>
        <v>0</v>
      </c>
      <c r="EB8" s="121">
        <v>0</v>
      </c>
      <c r="EC8" s="123">
        <f xml:space="preserve"> SUM( ED$4:ED8, -ED8 )</f>
        <v>0</v>
      </c>
      <c r="ED8" s="121">
        <v>0</v>
      </c>
      <c r="EE8" s="123">
        <f xml:space="preserve"> SUM( EF$4:EF8, -EF8 )</f>
        <v>0</v>
      </c>
      <c r="EF8" s="121">
        <v>0</v>
      </c>
      <c r="EG8" s="123">
        <f xml:space="preserve"> SUM( EH$4:EH8, -EH8 )</f>
        <v>0</v>
      </c>
      <c r="EH8" s="121">
        <v>0</v>
      </c>
      <c r="EI8" s="123">
        <f xml:space="preserve"> SUM( EJ$4:EJ8, -EJ8 )</f>
        <v>0</v>
      </c>
      <c r="EJ8" s="121">
        <v>0</v>
      </c>
      <c r="EK8" s="123">
        <f xml:space="preserve"> SUM( EL$4:EL8, -EL8 )</f>
        <v>0</v>
      </c>
      <c r="EL8" s="121">
        <v>0</v>
      </c>
      <c r="EM8" s="123">
        <f xml:space="preserve"> SUM( EN$4:EN8, -EN8 )</f>
        <v>0</v>
      </c>
      <c r="EN8" s="121">
        <v>0</v>
      </c>
      <c r="EO8" s="123">
        <f xml:space="preserve"> SUM( EP$4:EP8, -EP8 )</f>
        <v>0</v>
      </c>
      <c r="EP8" s="121">
        <v>0</v>
      </c>
      <c r="EQ8" s="123">
        <f xml:space="preserve"> SUM( ER$4:ER8, -ER8 )</f>
        <v>0</v>
      </c>
      <c r="ER8" s="121">
        <v>0</v>
      </c>
      <c r="ES8" s="123">
        <f xml:space="preserve"> SUM( ET$4:ET8, -ET8 )</f>
        <v>0</v>
      </c>
      <c r="ET8" s="121">
        <v>0</v>
      </c>
      <c r="EU8" s="123">
        <f xml:space="preserve"> SUM( EV$4:EV8, -EV8 )</f>
        <v>0</v>
      </c>
      <c r="EV8" s="121">
        <v>0</v>
      </c>
      <c r="EW8" s="123">
        <f xml:space="preserve"> SUM( EX$4:EX8, -EX8 )</f>
        <v>0</v>
      </c>
      <c r="EX8" s="121">
        <v>0</v>
      </c>
      <c r="EZ8" t="str">
        <f t="shared" si="15"/>
        <v>Armour Outer layer</v>
      </c>
      <c r="FB8" s="237">
        <f xml:space="preserve"> SUM( FC$4:FC8, -FC8 )</f>
        <v>1</v>
      </c>
      <c r="FC8" s="237">
        <v>0</v>
      </c>
      <c r="FD8" s="237">
        <f xml:space="preserve"> SUM( FE$4:FE8, -FE8 )</f>
        <v>1</v>
      </c>
      <c r="FE8" s="237">
        <v>0</v>
      </c>
      <c r="FF8" t="str">
        <f t="shared" si="16"/>
        <v>Armour Outer layer</v>
      </c>
    </row>
    <row r="9" spans="1:162">
      <c r="A9" t="s">
        <v>961</v>
      </c>
      <c r="B9" s="8" t="str">
        <f>$B$8</f>
        <v>Std</v>
      </c>
      <c r="C9" s="66" t="str">
        <f t="shared" ref="C9:C12" si="21">$C$6</f>
        <v>Plate</v>
      </c>
      <c r="D9" s="63" t="str">
        <f xml:space="preserve"> IF( Military&gt;0, Tables!$B$167, Tables!$B$163 )</f>
        <v xml:space="preserve"> </v>
      </c>
      <c r="E9" s="66"/>
      <c r="F9" s="66"/>
      <c r="G9" s="20">
        <f>1*(D9&lt;&gt;Tables!$B$163)</f>
        <v>0</v>
      </c>
      <c r="H9" s="28"/>
      <c r="I9" s="4">
        <f t="shared" ref="I9:I12" si="22">BM9</f>
        <v>0</v>
      </c>
      <c r="J9" s="191">
        <f t="shared" ref="J9:J12" si="23" xml:space="preserve"> ROUNDDOWN( G9, 0 )</f>
        <v>0</v>
      </c>
      <c r="K9" s="51">
        <f>(I9&gt;0)*G9*Hull*4%*$AZ$8*$AX$6</f>
        <v>0</v>
      </c>
      <c r="L9" s="151" t="str">
        <f t="shared" ref="L9:L12" si="24" xml:space="preserve"> IF( I9&gt;0, CONCATENATE( "  AV=",CONCATENATE( REPT(" ",IFERROR( ROUNDDOWN( LOG( MAX(I$8:I$13), 10 ), 0 ), 0 ) - IFERROR( ROUNDDOWN( LOG( I9, 10 ), 0 ), 0 ))),I9," ( ",BK9," )" ), "" )</f>
        <v/>
      </c>
      <c r="M9" s="48"/>
      <c r="N9" s="48"/>
      <c r="O9" s="48"/>
      <c r="S9" s="223"/>
      <c r="V9" s="240"/>
      <c r="Z9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</v>
      </c>
      <c r="AA9" s="160" t="str">
        <f xml:space="preserve"> IF( OR(I9&gt;0), CONCATENATE( newline &amp; AB9 &amp; AC9 &amp; AD9 &amp; AE9 &amp; AF9 &amp; AG9 &amp; AH9 &amp; AI9 &amp; AJ9 &amp; AK9 ), "" )</f>
        <v/>
      </c>
      <c r="AB9" s="161" t="str">
        <f t="shared" ref="AB9:AB12" si="25" xml:space="preserve"> CONCATENATE( A9 &amp; " " &amp; B9 &amp; " " &amp; D9 )</f>
        <v xml:space="preserve">Armour Std  </v>
      </c>
      <c r="AC9" s="160" t="str">
        <f t="shared" si="1"/>
        <v xml:space="preserve">                   </v>
      </c>
      <c r="AD9" s="160" t="str">
        <f t="shared" si="2"/>
        <v xml:space="preserve">           </v>
      </c>
      <c r="AE9" s="162" t="str">
        <f t="shared" ref="AE9:AE12" si="26" xml:space="preserve"> CONCATENATE( I9 )</f>
        <v>0</v>
      </c>
      <c r="AF9" s="160" t="str">
        <f t="shared" si="3"/>
        <v xml:space="preserve">           </v>
      </c>
      <c r="AG9" s="161" t="str">
        <f xml:space="preserve"> CONCATENATE( ROUND( K9, 1 ) )</f>
        <v>0</v>
      </c>
      <c r="AH9" s="160" t="str">
        <f t="shared" ref="AH9:AH12" si="27" xml:space="preserve"> CONCATENATE( REPT(" ",MAX(0,12-LEN(""))) )</f>
        <v xml:space="preserve">            </v>
      </c>
      <c r="AI9" s="163" t="str">
        <f t="shared" ref="AI9:AI12" si="28" xml:space="preserve"> CONCATENATE( L9 )</f>
        <v/>
      </c>
      <c r="AJ9" s="160" t="str">
        <f t="shared" si="5"/>
        <v xml:space="preserve">      </v>
      </c>
      <c r="AK9" s="163" t="str">
        <f t="shared" si="14"/>
        <v/>
      </c>
      <c r="AL9" s="163"/>
      <c r="AM9" s="120" t="str">
        <f>""</f>
        <v/>
      </c>
      <c r="AN9" s="120"/>
      <c r="AO9" s="120"/>
      <c r="AP9" s="120"/>
      <c r="AU9" s="8"/>
      <c r="AV9" s="8"/>
      <c r="AW9" s="52"/>
      <c r="AX9" s="68"/>
      <c r="AY9" s="8"/>
      <c r="AZ9" s="8"/>
      <c r="BI9">
        <v>0</v>
      </c>
      <c r="BK9" s="104" t="str">
        <f t="shared" ref="BK9:BK12" si="29" xml:space="preserve"> LEFT( BL9, LEN( BL9 )-2 )</f>
        <v xml:space="preserve">  0 vs Blast,    0 vs H/B,    0 vs Rad, 0 vs EMP</v>
      </c>
      <c r="BL9" s="68" t="str">
        <f t="shared" ref="BL9:BL12" si="30" xml:space="preserve"> CONCATENATE( BN9,BP9,BX9,BV9,BT9,BR9 )</f>
        <v xml:space="preserve">  0 vs Blast,    0 vs H/B,    0 vs Rad, 0 vs EMP, </v>
      </c>
      <c r="BM9">
        <f t="shared" ref="BM9:BM12" si="31" xml:space="preserve"> ($J9) * ROUNDDOWN( ( $BA$6 + $S$4 * $BB$6 + $AX$8 + $AW$29*($BI9&gt;0) ) * IF($BI9&gt;0,$AX$29,1), 0 )</f>
        <v>0</v>
      </c>
      <c r="BN9" s="1" t="str">
        <f t="shared" ref="BN9:BP12" si="32" xml:space="preserve"> IF( $BM$2&lt;&gt;BO$2, CONCATENATE( REPT(" ",IFERROR( ROUNDDOWN( LOG( MAX(BO$8:BO$13), 10 ), 0 ), 0 ) - IFERROR( ROUNDDOWN( LOG( BO9, 10 ), 0 ), 0 )), BO9, " vs "&amp;BO$1&amp;", " ), "" )</f>
        <v xml:space="preserve">  0 vs Blast, </v>
      </c>
      <c r="BO9">
        <f t="shared" ref="BO9:BU12" si="33" xml:space="preserve"> ($J9) * MAX( 0, CG9,  $S$4*BO$6+BN$6 + $AW$29*($BI9&gt;0) ) * IF($BI9&gt;0,$AX$29,1)</f>
        <v>0</v>
      </c>
      <c r="BP9" s="1" t="str">
        <f t="shared" si="32"/>
        <v/>
      </c>
      <c r="BQ9">
        <f t="shared" si="33"/>
        <v>0</v>
      </c>
      <c r="BR9" s="1" t="str">
        <f t="shared" ref="BR9:BR12" si="34" xml:space="preserve"> IF( TRUE, CONCATENATE( REPT(" ",IFERROR( ROUNDDOWN( LOG( MAX(BS$8:BS$13), 10 ), 0 ), 0 ) - IFERROR( ROUNDDOWN( LOG( BS9, 10 ), 0 ), 0 )), BS9, " vs "&amp;BS$1&amp;", " ), "" )</f>
        <v xml:space="preserve">0 vs EMP, </v>
      </c>
      <c r="BS9">
        <f t="shared" si="33"/>
        <v>0</v>
      </c>
      <c r="BT9" s="1" t="str">
        <f t="shared" ref="BT9:BT12" si="35" xml:space="preserve"> IF( TRUE, CONCATENATE( REPT(" ",IFERROR( ROUNDDOWN( LOG( MAX(BU$8:BU$13), 10 ), 0 ), 0 ) - IFERROR( ROUNDDOWN( LOG( BU9, 10 ), 0 ), 0 )), BU9, " vs "&amp;BU$1&amp;", " ), "" )</f>
        <v xml:space="preserve">   0 vs Rad, </v>
      </c>
      <c r="BU9">
        <f t="shared" si="33"/>
        <v>0</v>
      </c>
      <c r="BV9" s="1" t="str">
        <f t="shared" ref="BV9:BV12" si="36" xml:space="preserve"> IF( ($BM9&lt;&gt;BW9)*0, CONCATENATE( IF(BW9&lt;1000," ",""), IF(BW9&lt;100," ",""), BW9, " vs Nuke, " ), "" )</f>
        <v/>
      </c>
      <c r="BW9">
        <f t="shared" ref="BW9:BW12" si="37" xml:space="preserve"> MAX( BM9, BO9, BS9, BU9 )</f>
        <v>0</v>
      </c>
      <c r="BX9" s="1" t="str">
        <f t="shared" ref="BX9" si="38" xml:space="preserve"> IF( $BM$2&lt;&gt;BY$2, CONCATENATE( REPT(" ",IFERROR( ROUNDDOWN( LOG( MAX(BY$8:BY$13), 10 ), 0 ), 0 ) - IFERROR( ROUNDDOWN( LOG( BY9, 10 ), 0 ), 0 )), BY9, " vs "&amp;BY$1&amp;", " ), "" )</f>
        <v xml:space="preserve">   0 vs H/B, </v>
      </c>
      <c r="BY9">
        <f t="shared" ref="BY9:BY12" si="39" xml:space="preserve"> ($J9) * MAX( 0, CQ9,  $S$4*BY$6+BX$6 + $AW$29*($BI9&gt;0) ) * IF($BI9&gt;0,$AX$29,1)</f>
        <v>0</v>
      </c>
      <c r="CA9">
        <f t="shared" ref="CA9:CA12" si="40" xml:space="preserve"> ($J9) * MAX( 0, CS9,  $S$4*CA$6+BZ$6 + $AW$29*($BI9&gt;0) ) * IF($BI9&gt;0,$AX$29,1)</f>
        <v>0</v>
      </c>
      <c r="CG9">
        <f xml:space="preserve"> ($G9&gt;0) * $S$4 * VLOOKUP( $D9, Tables!$B$163:$H$167, 2, 0 )</f>
        <v>0</v>
      </c>
      <c r="CI9">
        <f xml:space="preserve"> ($G9&gt;0) * $S$4 * VLOOKUP( $D9, Tables!$B$163:$F$167, 4, 0 )</f>
        <v>0</v>
      </c>
      <c r="CK9">
        <f xml:space="preserve"> ($G9&gt;0) * $S$4 * VLOOKUP( $D9, Tables!$B$163:$F$167, 3, 0 )</f>
        <v>0</v>
      </c>
      <c r="CM9">
        <f xml:space="preserve"> ($G9&gt;0) * $S$4 * VLOOKUP( $D9, Tables!$B$163:$F$167, 5, 0 )</f>
        <v>0</v>
      </c>
      <c r="CP9">
        <f xml:space="preserve"> 1*(AND($C7&lt;&gt;Tables!$B$140,$C7&lt;&gt;Tables!$B$142))</f>
        <v>1</v>
      </c>
      <c r="CQ9">
        <f xml:space="preserve"> 0 * (CP9&gt;0) * ($G9&gt;0) * $S$4 * VLOOKUP( $D9, Tables!$B$163:$H$167, 6, 0 )</f>
        <v>0</v>
      </c>
      <c r="CR9">
        <f xml:space="preserve"> 1*(AND($C7&lt;&gt;Tables!$B$142))</f>
        <v>1</v>
      </c>
      <c r="CS9">
        <f xml:space="preserve"> 0 * (CR9&gt;0) * ($G9&gt;0) * $S$4 * VLOOKUP( $D9, Tables!$B$163:$H$167, 7, 0 )</f>
        <v>0</v>
      </c>
      <c r="DL9"/>
      <c r="DQ9" s="44"/>
      <c r="DW9" s="123">
        <f xml:space="preserve"> SUM( DX$4:DX9, -DX9 )</f>
        <v>0</v>
      </c>
      <c r="DX9" s="121">
        <v>0</v>
      </c>
      <c r="DY9" s="123">
        <f xml:space="preserve"> SUM( DZ$4:DZ9, -DZ9 )</f>
        <v>0</v>
      </c>
      <c r="DZ9" s="121">
        <v>0</v>
      </c>
      <c r="EA9" s="123">
        <f xml:space="preserve"> SUM( EB$4:EB9, -EB9 )</f>
        <v>0</v>
      </c>
      <c r="EB9" s="121">
        <v>0</v>
      </c>
      <c r="EC9" s="123">
        <f xml:space="preserve"> SUM( ED$4:ED9, -ED9 )</f>
        <v>0</v>
      </c>
      <c r="ED9" s="121">
        <v>0</v>
      </c>
      <c r="EE9" s="123">
        <f xml:space="preserve"> SUM( EF$4:EF9, -EF9 )</f>
        <v>0</v>
      </c>
      <c r="EF9" s="121">
        <v>0</v>
      </c>
      <c r="EG9" s="123">
        <f xml:space="preserve"> SUM( EH$4:EH9, -EH9 )</f>
        <v>0</v>
      </c>
      <c r="EH9" s="121">
        <v>0</v>
      </c>
      <c r="EI9" s="123">
        <f xml:space="preserve"> SUM( EJ$4:EJ9, -EJ9 )</f>
        <v>0</v>
      </c>
      <c r="EJ9" s="121">
        <v>0</v>
      </c>
      <c r="EK9" s="123">
        <f xml:space="preserve"> SUM( EL$4:EL9, -EL9 )</f>
        <v>0</v>
      </c>
      <c r="EL9" s="121">
        <v>0</v>
      </c>
      <c r="EM9" s="123">
        <f xml:space="preserve"> SUM( EN$4:EN9, -EN9 )</f>
        <v>0</v>
      </c>
      <c r="EN9" s="121">
        <v>0</v>
      </c>
      <c r="EO9" s="123">
        <f xml:space="preserve"> SUM( EP$4:EP9, -EP9 )</f>
        <v>0</v>
      </c>
      <c r="EP9" s="121">
        <v>0</v>
      </c>
      <c r="EQ9" s="123">
        <f xml:space="preserve"> SUM( ER$4:ER9, -ER9 )</f>
        <v>0</v>
      </c>
      <c r="ER9" s="121">
        <v>0</v>
      </c>
      <c r="ES9" s="123">
        <f xml:space="preserve"> SUM( ET$4:ET9, -ET9 )</f>
        <v>0</v>
      </c>
      <c r="ET9" s="121">
        <v>0</v>
      </c>
      <c r="EU9" s="123">
        <f xml:space="preserve"> SUM( EV$4:EV9, -EV9 )</f>
        <v>0</v>
      </c>
      <c r="EV9" s="121">
        <v>0</v>
      </c>
      <c r="EW9" s="123">
        <f xml:space="preserve"> SUM( EX$4:EX9, -EX9 )</f>
        <v>0</v>
      </c>
      <c r="EX9" s="121">
        <v>0</v>
      </c>
      <c r="EZ9" t="str">
        <f t="shared" si="15"/>
        <v>Armour</v>
      </c>
      <c r="FB9" s="237">
        <f xml:space="preserve"> SUM( FC$4:FC9, -FC9 )</f>
        <v>1</v>
      </c>
      <c r="FC9" s="237">
        <v>0</v>
      </c>
      <c r="FD9" s="237">
        <f xml:space="preserve"> SUM( FE$4:FE9, -FE9 )</f>
        <v>1</v>
      </c>
      <c r="FE9" s="237">
        <v>0</v>
      </c>
      <c r="FF9" t="str">
        <f t="shared" si="16"/>
        <v>Armour</v>
      </c>
    </row>
    <row r="10" spans="1:162">
      <c r="A10" t="s">
        <v>22</v>
      </c>
      <c r="B10" s="8" t="str">
        <f t="shared" ref="B10" si="41">$B$8</f>
        <v>Std</v>
      </c>
      <c r="C10" s="66" t="str">
        <f t="shared" si="21"/>
        <v>Plate</v>
      </c>
      <c r="D10" s="63" t="str">
        <f xml:space="preserve"> IF( Military&gt;1, Tables!$B$165, Tables!$B$163 )</f>
        <v xml:space="preserve"> </v>
      </c>
      <c r="E10" s="66"/>
      <c r="F10" s="66"/>
      <c r="G10" s="105">
        <f>1*(D10&lt;&gt;Tables!$B$163)</f>
        <v>0</v>
      </c>
      <c r="H10" s="86"/>
      <c r="I10" s="4">
        <f t="shared" si="22"/>
        <v>0</v>
      </c>
      <c r="J10" s="191">
        <f t="shared" si="23"/>
        <v>0</v>
      </c>
      <c r="K10" s="194">
        <f t="shared" ref="K10:K12" si="42">(I10&gt;0)*G10*Hull*4%*$AZ$8*$AX$6</f>
        <v>0</v>
      </c>
      <c r="L10" s="151" t="str">
        <f t="shared" si="24"/>
        <v/>
      </c>
      <c r="M10" s="48"/>
      <c r="N10" s="48"/>
      <c r="O10" s="48"/>
      <c r="S10" s="223"/>
      <c r="V10" s="240"/>
      <c r="Z10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</v>
      </c>
      <c r="AA10" s="160" t="str">
        <f t="shared" ref="AA10:AA12" si="43" xml:space="preserve"> IF( OR(I10&gt;0), CONCATENATE( newline &amp; AB10 &amp; AC10 &amp; AD10 &amp; AE10 &amp; AF10 &amp; AG10 &amp; AH10 &amp; AI10 &amp; AJ10 &amp; AK10 ), "" )</f>
        <v/>
      </c>
      <c r="AB10" s="161" t="str">
        <f t="shared" si="25"/>
        <v xml:space="preserve">Armour Std  </v>
      </c>
      <c r="AC10" s="160" t="str">
        <f t="shared" si="1"/>
        <v xml:space="preserve">                   </v>
      </c>
      <c r="AD10" s="160" t="str">
        <f t="shared" si="2"/>
        <v xml:space="preserve">           </v>
      </c>
      <c r="AE10" s="162" t="str">
        <f t="shared" si="26"/>
        <v>0</v>
      </c>
      <c r="AF10" s="160" t="str">
        <f t="shared" si="3"/>
        <v xml:space="preserve">           </v>
      </c>
      <c r="AG10" s="161" t="str">
        <f t="shared" ref="AG10:AG12" si="44" xml:space="preserve"> CONCATENATE( ROUND( K10, 1 ) )</f>
        <v>0</v>
      </c>
      <c r="AH10" s="160" t="str">
        <f t="shared" si="27"/>
        <v xml:space="preserve">            </v>
      </c>
      <c r="AI10" s="163" t="str">
        <f t="shared" si="28"/>
        <v/>
      </c>
      <c r="AJ10" s="160" t="str">
        <f t="shared" si="5"/>
        <v xml:space="preserve">      </v>
      </c>
      <c r="AK10" s="163" t="str">
        <f t="shared" si="14"/>
        <v/>
      </c>
      <c r="AL10" s="163"/>
      <c r="AM10" s="153"/>
      <c r="AN10" s="153"/>
      <c r="AO10" s="153"/>
      <c r="AP10" s="153"/>
      <c r="AU10" s="8"/>
      <c r="AV10" s="8"/>
      <c r="AW10" s="90"/>
      <c r="AX10" s="68"/>
      <c r="AY10" s="8"/>
      <c r="AZ10" s="8"/>
      <c r="BI10">
        <v>0</v>
      </c>
      <c r="BK10" s="104" t="str">
        <f t="shared" si="29"/>
        <v xml:space="preserve">  0 vs Blast,    0 vs H/B,    0 vs Rad, 0 vs EMP</v>
      </c>
      <c r="BL10" s="68" t="str">
        <f t="shared" si="30"/>
        <v xml:space="preserve">  0 vs Blast,    0 vs H/B,    0 vs Rad, 0 vs EMP, </v>
      </c>
      <c r="BM10">
        <f t="shared" si="31"/>
        <v>0</v>
      </c>
      <c r="BN10" s="1" t="str">
        <f t="shared" si="32"/>
        <v xml:space="preserve">  0 vs Blast, </v>
      </c>
      <c r="BO10">
        <f t="shared" si="33"/>
        <v>0</v>
      </c>
      <c r="BP10" s="1" t="str">
        <f t="shared" si="32"/>
        <v/>
      </c>
      <c r="BQ10">
        <f t="shared" si="33"/>
        <v>0</v>
      </c>
      <c r="BR10" s="1" t="str">
        <f t="shared" si="34"/>
        <v xml:space="preserve">0 vs EMP, </v>
      </c>
      <c r="BS10">
        <f t="shared" si="33"/>
        <v>0</v>
      </c>
      <c r="BT10" s="1" t="str">
        <f t="shared" si="35"/>
        <v xml:space="preserve">   0 vs Rad, </v>
      </c>
      <c r="BU10">
        <f t="shared" si="33"/>
        <v>0</v>
      </c>
      <c r="BV10" s="1" t="str">
        <f t="shared" si="36"/>
        <v/>
      </c>
      <c r="BW10">
        <f t="shared" si="37"/>
        <v>0</v>
      </c>
      <c r="BX10" s="1" t="str">
        <f t="shared" ref="BX10" si="45" xml:space="preserve"> IF( $BM$2&lt;&gt;BY$2, CONCATENATE( REPT(" ",IFERROR( ROUNDDOWN( LOG( MAX(BY$8:BY$13), 10 ), 0 ), 0 ) - IFERROR( ROUNDDOWN( LOG( BY10, 10 ), 0 ), 0 )), BY10, " vs "&amp;BY$1&amp;", " ), "" )</f>
        <v xml:space="preserve">   0 vs H/B, </v>
      </c>
      <c r="BY10">
        <f t="shared" si="39"/>
        <v>0</v>
      </c>
      <c r="CA10">
        <f t="shared" si="40"/>
        <v>0</v>
      </c>
      <c r="CG10">
        <f xml:space="preserve"> ($G10&gt;0) * $S$4 * VLOOKUP( $D10, Tables!$B$163:$H$167, 2, 0 )</f>
        <v>0</v>
      </c>
      <c r="CI10">
        <f xml:space="preserve"> ($G10&gt;0) * $S$4 * VLOOKUP( $D10, Tables!$B$163:$F$167, 4, 0 )</f>
        <v>0</v>
      </c>
      <c r="CK10">
        <f xml:space="preserve"> ($G10&gt;0) * $S$4 * VLOOKUP( $D10, Tables!$B$163:$F$167, 3, 0 )</f>
        <v>0</v>
      </c>
      <c r="CM10">
        <f xml:space="preserve"> ($G10&gt;0) * $S$4 * VLOOKUP( $D10, Tables!$B$163:$F$167, 5, 0 )</f>
        <v>0</v>
      </c>
      <c r="CP10">
        <f xml:space="preserve"> 1*(AND($C8&lt;&gt;Tables!$B$140,$C8&lt;&gt;Tables!$B$142))</f>
        <v>1</v>
      </c>
      <c r="CQ10">
        <f xml:space="preserve"> 0 * (CP10&gt;0) * ($G10&gt;0) * $S$4 * VLOOKUP( $D10, Tables!$B$163:$H$167, 6, 0 )</f>
        <v>0</v>
      </c>
      <c r="CR10">
        <f xml:space="preserve"> 1*(AND($C8&lt;&gt;Tables!$B$142))</f>
        <v>1</v>
      </c>
      <c r="CS10">
        <f xml:space="preserve"> 0 * (CR10&gt;0) * ($G10&gt;0) * $S$4 * VLOOKUP( $D10, Tables!$B$163:$H$167, 7, 0 )</f>
        <v>0</v>
      </c>
      <c r="DL10"/>
      <c r="DQ10" s="44"/>
      <c r="DW10" s="123">
        <f xml:space="preserve"> SUM( DX$4:DX10, -DX10 )</f>
        <v>0</v>
      </c>
      <c r="DX10" s="121">
        <v>0</v>
      </c>
      <c r="DY10" s="123">
        <f xml:space="preserve"> SUM( DZ$4:DZ10, -DZ10 )</f>
        <v>0</v>
      </c>
      <c r="DZ10" s="121">
        <v>0</v>
      </c>
      <c r="EA10" s="123">
        <f xml:space="preserve"> SUM( EB$4:EB10, -EB10 )</f>
        <v>0</v>
      </c>
      <c r="EB10" s="121">
        <v>0</v>
      </c>
      <c r="EC10" s="123">
        <f xml:space="preserve"> SUM( ED$4:ED10, -ED10 )</f>
        <v>0</v>
      </c>
      <c r="ED10" s="121">
        <v>0</v>
      </c>
      <c r="EE10" s="123">
        <f xml:space="preserve"> SUM( EF$4:EF10, -EF10 )</f>
        <v>0</v>
      </c>
      <c r="EF10" s="121">
        <v>0</v>
      </c>
      <c r="EG10" s="123">
        <f xml:space="preserve"> SUM( EH$4:EH10, -EH10 )</f>
        <v>0</v>
      </c>
      <c r="EH10" s="121">
        <v>0</v>
      </c>
      <c r="EI10" s="123">
        <f xml:space="preserve"> SUM( EJ$4:EJ10, -EJ10 )</f>
        <v>0</v>
      </c>
      <c r="EJ10" s="121">
        <v>0</v>
      </c>
      <c r="EK10" s="123">
        <f xml:space="preserve"> SUM( EL$4:EL10, -EL10 )</f>
        <v>0</v>
      </c>
      <c r="EL10" s="121">
        <v>0</v>
      </c>
      <c r="EM10" s="123">
        <f xml:space="preserve"> SUM( EN$4:EN10, -EN10 )</f>
        <v>0</v>
      </c>
      <c r="EN10" s="121">
        <v>0</v>
      </c>
      <c r="EO10" s="123">
        <f xml:space="preserve"> SUM( EP$4:EP10, -EP10 )</f>
        <v>0</v>
      </c>
      <c r="EP10" s="121">
        <v>0</v>
      </c>
      <c r="EQ10" s="123">
        <f xml:space="preserve"> SUM( ER$4:ER10, -ER10 )</f>
        <v>0</v>
      </c>
      <c r="ER10" s="121">
        <v>0</v>
      </c>
      <c r="ES10" s="123">
        <f xml:space="preserve"> SUM( ET$4:ET10, -ET10 )</f>
        <v>0</v>
      </c>
      <c r="ET10" s="121">
        <v>0</v>
      </c>
      <c r="EU10" s="123">
        <f xml:space="preserve"> SUM( EV$4:EV10, -EV10 )</f>
        <v>0</v>
      </c>
      <c r="EV10" s="121">
        <v>0</v>
      </c>
      <c r="EW10" s="123">
        <f xml:space="preserve"> SUM( EX$4:EX10, -EX10 )</f>
        <v>0</v>
      </c>
      <c r="EX10" s="121">
        <v>0</v>
      </c>
      <c r="EZ10" t="str">
        <f t="shared" si="15"/>
        <v>Armour</v>
      </c>
      <c r="FB10" s="237">
        <f xml:space="preserve"> SUM( FC$4:FC10, -FC10 )</f>
        <v>1</v>
      </c>
      <c r="FC10" s="237">
        <v>0</v>
      </c>
      <c r="FD10" s="237">
        <f xml:space="preserve"> SUM( FE$4:FE10, -FE10 )</f>
        <v>1</v>
      </c>
      <c r="FE10" s="237">
        <v>0</v>
      </c>
      <c r="FF10" t="str">
        <f t="shared" si="16"/>
        <v>Armour</v>
      </c>
    </row>
    <row r="11" spans="1:162">
      <c r="A11" t="s">
        <v>961</v>
      </c>
      <c r="B11" s="8" t="str">
        <f t="shared" ref="B11:B12" si="46">$B$8</f>
        <v>Std</v>
      </c>
      <c r="C11" s="66" t="str">
        <f t="shared" si="21"/>
        <v>Plate</v>
      </c>
      <c r="D11" s="63" t="s">
        <v>268</v>
      </c>
      <c r="E11" s="66"/>
      <c r="F11" s="66"/>
      <c r="G11" s="199">
        <f>1*(D11&lt;&gt;Tables!$B$163)</f>
        <v>0</v>
      </c>
      <c r="H11" s="28"/>
      <c r="I11" s="4">
        <f t="shared" si="22"/>
        <v>0</v>
      </c>
      <c r="J11" s="191">
        <f t="shared" si="23"/>
        <v>0</v>
      </c>
      <c r="K11" s="194">
        <f t="shared" si="42"/>
        <v>0</v>
      </c>
      <c r="L11" s="151" t="str">
        <f t="shared" si="24"/>
        <v/>
      </c>
      <c r="M11" s="48"/>
      <c r="N11" s="48"/>
      <c r="O11" s="48"/>
      <c r="S11" s="223"/>
      <c r="V11" s="240"/>
      <c r="Z11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</v>
      </c>
      <c r="AA11" s="160" t="str">
        <f t="shared" si="43"/>
        <v/>
      </c>
      <c r="AB11" s="161" t="str">
        <f t="shared" si="25"/>
        <v xml:space="preserve">Armour Std  </v>
      </c>
      <c r="AC11" s="160" t="str">
        <f t="shared" si="1"/>
        <v xml:space="preserve">                   </v>
      </c>
      <c r="AD11" s="160" t="str">
        <f t="shared" si="2"/>
        <v xml:space="preserve">           </v>
      </c>
      <c r="AE11" s="162" t="str">
        <f t="shared" si="26"/>
        <v>0</v>
      </c>
      <c r="AF11" s="160" t="str">
        <f t="shared" si="3"/>
        <v xml:space="preserve">           </v>
      </c>
      <c r="AG11" s="161" t="str">
        <f t="shared" si="44"/>
        <v>0</v>
      </c>
      <c r="AH11" s="160" t="str">
        <f t="shared" si="27"/>
        <v xml:space="preserve">            </v>
      </c>
      <c r="AI11" s="163" t="str">
        <f t="shared" si="28"/>
        <v/>
      </c>
      <c r="AJ11" s="160" t="str">
        <f t="shared" si="5"/>
        <v xml:space="preserve">      </v>
      </c>
      <c r="AK11" s="163" t="str">
        <f t="shared" si="14"/>
        <v/>
      </c>
      <c r="AL11" s="163"/>
      <c r="AM11" s="153"/>
      <c r="AN11" s="153"/>
      <c r="AO11" s="153"/>
      <c r="AP11" s="153"/>
      <c r="AT11" s="6"/>
      <c r="AU11" s="6"/>
      <c r="BI11">
        <v>0</v>
      </c>
      <c r="BK11" s="104" t="str">
        <f t="shared" si="29"/>
        <v xml:space="preserve">  0 vs Blast,    0 vs H/B,    0 vs Rad, 0 vs EMP</v>
      </c>
      <c r="BL11" s="68" t="str">
        <f t="shared" si="30"/>
        <v xml:space="preserve">  0 vs Blast,    0 vs H/B,    0 vs Rad, 0 vs EMP, </v>
      </c>
      <c r="BM11">
        <f t="shared" si="31"/>
        <v>0</v>
      </c>
      <c r="BN11" s="1" t="str">
        <f t="shared" si="32"/>
        <v xml:space="preserve">  0 vs Blast, </v>
      </c>
      <c r="BO11">
        <f t="shared" si="33"/>
        <v>0</v>
      </c>
      <c r="BP11" s="1" t="str">
        <f t="shared" si="32"/>
        <v/>
      </c>
      <c r="BQ11">
        <f t="shared" si="33"/>
        <v>0</v>
      </c>
      <c r="BR11" s="1" t="str">
        <f t="shared" si="34"/>
        <v xml:space="preserve">0 vs EMP, </v>
      </c>
      <c r="BS11">
        <f t="shared" si="33"/>
        <v>0</v>
      </c>
      <c r="BT11" s="1" t="str">
        <f t="shared" si="35"/>
        <v xml:space="preserve">   0 vs Rad, </v>
      </c>
      <c r="BU11">
        <f t="shared" si="33"/>
        <v>0</v>
      </c>
      <c r="BV11" s="1" t="str">
        <f t="shared" si="36"/>
        <v/>
      </c>
      <c r="BW11">
        <f t="shared" si="37"/>
        <v>0</v>
      </c>
      <c r="BX11" s="1" t="str">
        <f t="shared" ref="BX11" si="47" xml:space="preserve"> IF( $BM$2&lt;&gt;BY$2, CONCATENATE( REPT(" ",IFERROR( ROUNDDOWN( LOG( MAX(BY$8:BY$13), 10 ), 0 ), 0 ) - IFERROR( ROUNDDOWN( LOG( BY11, 10 ), 0 ), 0 )), BY11, " vs "&amp;BY$1&amp;", " ), "" )</f>
        <v xml:space="preserve">   0 vs H/B, </v>
      </c>
      <c r="BY11">
        <f t="shared" si="39"/>
        <v>0</v>
      </c>
      <c r="CA11">
        <f t="shared" si="40"/>
        <v>0</v>
      </c>
      <c r="CG11">
        <f xml:space="preserve"> ($G11&gt;0) * $S$4 * VLOOKUP( $D11, Tables!$B$163:$H$167, 2, 0 )</f>
        <v>0</v>
      </c>
      <c r="CI11">
        <f xml:space="preserve"> ($G11&gt;0) * $S$4 * VLOOKUP( $D11, Tables!$B$163:$F$167, 4, 0 )</f>
        <v>0</v>
      </c>
      <c r="CK11">
        <f xml:space="preserve"> ($G11&gt;0) * $S$4 * VLOOKUP( $D11, Tables!$B$163:$F$167, 3, 0 )</f>
        <v>0</v>
      </c>
      <c r="CM11">
        <f xml:space="preserve"> ($G11&gt;0) * $S$4 * VLOOKUP( $D11, Tables!$B$163:$F$167, 5, 0 )</f>
        <v>0</v>
      </c>
      <c r="CP11">
        <f xml:space="preserve"> 1*(AND($C9&lt;&gt;Tables!$B$140,$C9&lt;&gt;Tables!$B$142))</f>
        <v>1</v>
      </c>
      <c r="CQ11">
        <f xml:space="preserve"> 0 * (CP11&gt;0) * ($G11&gt;0) * $S$4 * VLOOKUP( $D11, Tables!$B$163:$H$167, 6, 0 )</f>
        <v>0</v>
      </c>
      <c r="CR11">
        <f xml:space="preserve"> 1*(AND($C9&lt;&gt;Tables!$B$142))</f>
        <v>1</v>
      </c>
      <c r="CS11">
        <f xml:space="preserve"> 0 * (CR11&gt;0) * ($G11&gt;0) * $S$4 * VLOOKUP( $D11, Tables!$B$163:$H$167, 7, 0 )</f>
        <v>0</v>
      </c>
      <c r="DL11"/>
      <c r="DQ11" s="44"/>
      <c r="DW11" s="123">
        <f xml:space="preserve"> SUM( DX$4:DX11, -DX11 )</f>
        <v>0</v>
      </c>
      <c r="DX11" s="121">
        <v>0</v>
      </c>
      <c r="DY11" s="123">
        <f xml:space="preserve"> SUM( DZ$4:DZ11, -DZ11 )</f>
        <v>0</v>
      </c>
      <c r="DZ11" s="121">
        <v>0</v>
      </c>
      <c r="EA11" s="123">
        <f xml:space="preserve"> SUM( EB$4:EB11, -EB11 )</f>
        <v>0</v>
      </c>
      <c r="EB11" s="121">
        <v>0</v>
      </c>
      <c r="EC11" s="123">
        <f xml:space="preserve"> SUM( ED$4:ED11, -ED11 )</f>
        <v>0</v>
      </c>
      <c r="ED11" s="121">
        <v>0</v>
      </c>
      <c r="EE11" s="123">
        <f xml:space="preserve"> SUM( EF$4:EF11, -EF11 )</f>
        <v>0</v>
      </c>
      <c r="EF11" s="121">
        <v>0</v>
      </c>
      <c r="EG11" s="123">
        <f xml:space="preserve"> SUM( EH$4:EH11, -EH11 )</f>
        <v>0</v>
      </c>
      <c r="EH11" s="121">
        <v>0</v>
      </c>
      <c r="EI11" s="123">
        <f xml:space="preserve"> SUM( EJ$4:EJ11, -EJ11 )</f>
        <v>0</v>
      </c>
      <c r="EJ11" s="121">
        <v>0</v>
      </c>
      <c r="EK11" s="123">
        <f xml:space="preserve"> SUM( EL$4:EL11, -EL11 )</f>
        <v>0</v>
      </c>
      <c r="EL11" s="121">
        <v>0</v>
      </c>
      <c r="EM11" s="123">
        <f xml:space="preserve"> SUM( EN$4:EN11, -EN11 )</f>
        <v>0</v>
      </c>
      <c r="EN11" s="121">
        <v>0</v>
      </c>
      <c r="EO11" s="123">
        <f xml:space="preserve"> SUM( EP$4:EP11, -EP11 )</f>
        <v>0</v>
      </c>
      <c r="EP11" s="121">
        <v>0</v>
      </c>
      <c r="EQ11" s="123">
        <f xml:space="preserve"> SUM( ER$4:ER11, -ER11 )</f>
        <v>0</v>
      </c>
      <c r="ER11" s="121">
        <v>0</v>
      </c>
      <c r="ES11" s="123">
        <f xml:space="preserve"> SUM( ET$4:ET11, -ET11 )</f>
        <v>0</v>
      </c>
      <c r="ET11" s="121">
        <v>0</v>
      </c>
      <c r="EU11" s="123">
        <f xml:space="preserve"> SUM( EV$4:EV11, -EV11 )</f>
        <v>0</v>
      </c>
      <c r="EV11" s="121">
        <v>0</v>
      </c>
      <c r="EW11" s="123">
        <f xml:space="preserve"> SUM( EX$4:EX11, -EX11 )</f>
        <v>0</v>
      </c>
      <c r="EX11" s="121">
        <v>0</v>
      </c>
      <c r="EZ11" t="str">
        <f t="shared" si="15"/>
        <v>Armour</v>
      </c>
      <c r="FB11" s="237">
        <f xml:space="preserve"> SUM( FC$4:FC11, -FC11 )</f>
        <v>1</v>
      </c>
      <c r="FC11" s="237">
        <v>0</v>
      </c>
      <c r="FD11" s="237">
        <f xml:space="preserve"> SUM( FE$4:FE11, -FE11 )</f>
        <v>1</v>
      </c>
      <c r="FE11" s="237">
        <v>0</v>
      </c>
      <c r="FF11" t="str">
        <f t="shared" si="16"/>
        <v>Armour</v>
      </c>
    </row>
    <row r="12" spans="1:162">
      <c r="A12" t="s">
        <v>961</v>
      </c>
      <c r="B12" s="8" t="str">
        <f t="shared" si="46"/>
        <v>Std</v>
      </c>
      <c r="C12" s="66" t="str">
        <f t="shared" si="21"/>
        <v>Plate</v>
      </c>
      <c r="D12" s="63" t="s">
        <v>268</v>
      </c>
      <c r="E12" s="66"/>
      <c r="F12" s="66"/>
      <c r="G12" s="199">
        <f>1*(D12&lt;&gt;Tables!$B$163)</f>
        <v>0</v>
      </c>
      <c r="H12" s="26"/>
      <c r="I12" s="4">
        <f t="shared" si="22"/>
        <v>0</v>
      </c>
      <c r="J12" s="191">
        <f t="shared" si="23"/>
        <v>0</v>
      </c>
      <c r="K12" s="194">
        <f t="shared" si="42"/>
        <v>0</v>
      </c>
      <c r="L12" s="151" t="str">
        <f t="shared" si="24"/>
        <v/>
      </c>
      <c r="M12" s="3"/>
      <c r="N12" s="48"/>
      <c r="O12" s="3"/>
      <c r="S12" s="223"/>
      <c r="V12" s="240"/>
      <c r="Z12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</v>
      </c>
      <c r="AA12" s="160" t="str">
        <f t="shared" si="43"/>
        <v/>
      </c>
      <c r="AB12" s="161" t="str">
        <f t="shared" si="25"/>
        <v xml:space="preserve">Armour Std  </v>
      </c>
      <c r="AC12" s="160" t="str">
        <f t="shared" si="1"/>
        <v xml:space="preserve">                   </v>
      </c>
      <c r="AD12" s="160" t="str">
        <f t="shared" si="2"/>
        <v xml:space="preserve">           </v>
      </c>
      <c r="AE12" s="162" t="str">
        <f t="shared" si="26"/>
        <v>0</v>
      </c>
      <c r="AF12" s="160" t="str">
        <f t="shared" si="3"/>
        <v xml:space="preserve">           </v>
      </c>
      <c r="AG12" s="161" t="str">
        <f t="shared" si="44"/>
        <v>0</v>
      </c>
      <c r="AH12" s="160" t="str">
        <f t="shared" si="27"/>
        <v xml:space="preserve">            </v>
      </c>
      <c r="AI12" s="163" t="str">
        <f t="shared" si="28"/>
        <v/>
      </c>
      <c r="AJ12" s="160" t="str">
        <f t="shared" si="5"/>
        <v xml:space="preserve">      </v>
      </c>
      <c r="AK12" s="163" t="str">
        <f t="shared" si="14"/>
        <v/>
      </c>
      <c r="AL12" s="163"/>
      <c r="AM12" s="153"/>
      <c r="AN12" s="153"/>
      <c r="AO12" s="153"/>
      <c r="AP12" s="153"/>
      <c r="AT12" s="6"/>
      <c r="AU12" s="6"/>
      <c r="BI12">
        <v>0</v>
      </c>
      <c r="BK12" s="104" t="str">
        <f t="shared" si="29"/>
        <v xml:space="preserve">  0 vs Blast,    0 vs H/B,    0 vs Rad, 0 vs EMP</v>
      </c>
      <c r="BL12" s="68" t="str">
        <f t="shared" si="30"/>
        <v xml:space="preserve">  0 vs Blast,    0 vs H/B,    0 vs Rad, 0 vs EMP, </v>
      </c>
      <c r="BM12">
        <f t="shared" si="31"/>
        <v>0</v>
      </c>
      <c r="BN12" s="1" t="str">
        <f t="shared" si="32"/>
        <v xml:space="preserve">  0 vs Blast, </v>
      </c>
      <c r="BO12">
        <f t="shared" si="33"/>
        <v>0</v>
      </c>
      <c r="BP12" s="1" t="str">
        <f t="shared" si="32"/>
        <v/>
      </c>
      <c r="BQ12">
        <f t="shared" si="33"/>
        <v>0</v>
      </c>
      <c r="BR12" s="1" t="str">
        <f t="shared" si="34"/>
        <v xml:space="preserve">0 vs EMP, </v>
      </c>
      <c r="BS12">
        <f t="shared" si="33"/>
        <v>0</v>
      </c>
      <c r="BT12" s="1" t="str">
        <f t="shared" si="35"/>
        <v xml:space="preserve">   0 vs Rad, </v>
      </c>
      <c r="BU12">
        <f t="shared" si="33"/>
        <v>0</v>
      </c>
      <c r="BV12" s="1" t="str">
        <f t="shared" si="36"/>
        <v/>
      </c>
      <c r="BW12">
        <f t="shared" si="37"/>
        <v>0</v>
      </c>
      <c r="BX12" s="1" t="str">
        <f t="shared" ref="BX12" si="48" xml:space="preserve"> IF( $BM$2&lt;&gt;BY$2, CONCATENATE( REPT(" ",IFERROR( ROUNDDOWN( LOG( MAX(BY$8:BY$13), 10 ), 0 ), 0 ) - IFERROR( ROUNDDOWN( LOG( BY12, 10 ), 0 ), 0 )), BY12, " vs "&amp;BY$1&amp;", " ), "" )</f>
        <v xml:space="preserve">   0 vs H/B, </v>
      </c>
      <c r="BY12">
        <f t="shared" si="39"/>
        <v>0</v>
      </c>
      <c r="CA12">
        <f t="shared" si="40"/>
        <v>0</v>
      </c>
      <c r="CG12">
        <f xml:space="preserve"> ($G12&gt;0) * $S$4 * VLOOKUP( $D12, Tables!$B$163:$H$167, 2, 0 )</f>
        <v>0</v>
      </c>
      <c r="CI12">
        <f xml:space="preserve"> ($G12&gt;0) * $S$4 * VLOOKUP( $D12, Tables!$B$163:$F$167, 4, 0 )</f>
        <v>0</v>
      </c>
      <c r="CK12">
        <f xml:space="preserve"> ($G12&gt;0) * $S$4 * VLOOKUP( $D12, Tables!$B$163:$F$167, 3, 0 )</f>
        <v>0</v>
      </c>
      <c r="CM12">
        <f xml:space="preserve"> ($G12&gt;0) * $S$4 * VLOOKUP( $D12, Tables!$B$163:$F$167, 5, 0 )</f>
        <v>0</v>
      </c>
      <c r="CP12">
        <f xml:space="preserve"> 1*(AND($C10&lt;&gt;Tables!$B$140,$C10&lt;&gt;Tables!$B$142))</f>
        <v>1</v>
      </c>
      <c r="CQ12">
        <f xml:space="preserve"> 0 * (CP12&gt;0) * ($G12&gt;0) * $S$4 * VLOOKUP( $D12, Tables!$B$163:$H$167, 6, 0 )</f>
        <v>0</v>
      </c>
      <c r="CR12">
        <f xml:space="preserve"> 1*(AND($C10&lt;&gt;Tables!$B$142))</f>
        <v>1</v>
      </c>
      <c r="CS12">
        <f xml:space="preserve"> 0 * (CR12&gt;0) * ($G12&gt;0) * $S$4 * VLOOKUP( $D12, Tables!$B$163:$H$167, 7, 0 )</f>
        <v>0</v>
      </c>
      <c r="DL12"/>
      <c r="DQ12" s="44"/>
      <c r="DW12" s="123">
        <f xml:space="preserve"> SUM( DX$4:DX12, -DX12 )</f>
        <v>0</v>
      </c>
      <c r="DX12" s="121">
        <v>0</v>
      </c>
      <c r="DY12" s="123">
        <f xml:space="preserve"> SUM( DZ$4:DZ12, -DZ12 )</f>
        <v>0</v>
      </c>
      <c r="DZ12" s="121">
        <v>0</v>
      </c>
      <c r="EA12" s="123">
        <f xml:space="preserve"> SUM( EB$4:EB12, -EB12 )</f>
        <v>0</v>
      </c>
      <c r="EB12" s="121">
        <v>0</v>
      </c>
      <c r="EC12" s="123">
        <f xml:space="preserve"> SUM( ED$4:ED12, -ED12 )</f>
        <v>0</v>
      </c>
      <c r="ED12" s="121">
        <v>0</v>
      </c>
      <c r="EE12" s="123">
        <f xml:space="preserve"> SUM( EF$4:EF12, -EF12 )</f>
        <v>0</v>
      </c>
      <c r="EF12" s="121">
        <v>0</v>
      </c>
      <c r="EG12" s="123">
        <f xml:space="preserve"> SUM( EH$4:EH12, -EH12 )</f>
        <v>0</v>
      </c>
      <c r="EH12" s="121">
        <v>0</v>
      </c>
      <c r="EI12" s="123">
        <f xml:space="preserve"> SUM( EJ$4:EJ12, -EJ12 )</f>
        <v>0</v>
      </c>
      <c r="EJ12" s="121">
        <v>0</v>
      </c>
      <c r="EK12" s="123">
        <f xml:space="preserve"> SUM( EL$4:EL12, -EL12 )</f>
        <v>0</v>
      </c>
      <c r="EL12" s="121">
        <v>0</v>
      </c>
      <c r="EM12" s="123">
        <f xml:space="preserve"> SUM( EN$4:EN12, -EN12 )</f>
        <v>0</v>
      </c>
      <c r="EN12" s="121">
        <v>0</v>
      </c>
      <c r="EO12" s="123">
        <f xml:space="preserve"> SUM( EP$4:EP12, -EP12 )</f>
        <v>0</v>
      </c>
      <c r="EP12" s="121">
        <v>0</v>
      </c>
      <c r="EQ12" s="123">
        <f xml:space="preserve"> SUM( ER$4:ER12, -ER12 )</f>
        <v>0</v>
      </c>
      <c r="ER12" s="121">
        <v>0</v>
      </c>
      <c r="ES12" s="123">
        <f xml:space="preserve"> SUM( ET$4:ET12, -ET12 )</f>
        <v>0</v>
      </c>
      <c r="ET12" s="121">
        <v>0</v>
      </c>
      <c r="EU12" s="123">
        <f xml:space="preserve"> SUM( EV$4:EV12, -EV12 )</f>
        <v>0</v>
      </c>
      <c r="EV12" s="121">
        <v>0</v>
      </c>
      <c r="EW12" s="123">
        <f xml:space="preserve"> SUM( EX$4:EX12, -EX12 )</f>
        <v>0</v>
      </c>
      <c r="EX12" s="121">
        <v>0</v>
      </c>
      <c r="EZ12" t="str">
        <f t="shared" si="15"/>
        <v>Armour</v>
      </c>
      <c r="FB12" s="237">
        <f xml:space="preserve"> SUM( FC$4:FC12, -FC12 )</f>
        <v>1</v>
      </c>
      <c r="FC12" s="237">
        <v>0</v>
      </c>
      <c r="FD12" s="237">
        <f xml:space="preserve"> SUM( FE$4:FE12, -FE12 )</f>
        <v>1</v>
      </c>
      <c r="FE12" s="237">
        <v>0</v>
      </c>
      <c r="FF12" t="str">
        <f t="shared" si="16"/>
        <v>Armour</v>
      </c>
    </row>
    <row r="13" spans="1:162">
      <c r="A13" t="s">
        <v>498</v>
      </c>
      <c r="B13" s="8" t="str">
        <f>BF13</f>
        <v>Std</v>
      </c>
      <c r="C13" s="63" t="str">
        <f>AQ13</f>
        <v>Landing Skids</v>
      </c>
      <c r="D13" s="66" t="str">
        <f>AW13</f>
        <v>Tarmac</v>
      </c>
      <c r="E13" s="66"/>
      <c r="F13" s="66"/>
      <c r="G13" s="66" t="str">
        <f xml:space="preserve"> IF( $I$5=6, "Included", "" )</f>
        <v/>
      </c>
      <c r="H13" s="57">
        <v>0</v>
      </c>
      <c r="I13" s="4"/>
      <c r="J13" s="48"/>
      <c r="K13" s="51">
        <f xml:space="preserve"> Hull/100 * AY13 * (C13&lt;&gt;AQ13)</f>
        <v>0</v>
      </c>
      <c r="L13" s="51">
        <f xml:space="preserve"> Hull/100 * AZ13 * (C13&lt;&gt;AQ13) * BI13 * ( 1 + 0.1*($S13=TL+1) )</f>
        <v>0</v>
      </c>
      <c r="M13" s="48"/>
      <c r="N13" s="48"/>
      <c r="O13" s="48"/>
      <c r="S13" s="223">
        <f t="shared" ref="S13:S18" si="49" xml:space="preserve"> TL</f>
        <v>12</v>
      </c>
      <c r="T13" t="str">
        <f ca="1" xml:space="preserve"> IF( D13&lt;&gt;" ", CONCATENATE( DQ13, DR13, DS13, DT13, DU13 ), "" )</f>
        <v>8-4 5 3-5</v>
      </c>
      <c r="Z13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</v>
      </c>
      <c r="AA13" s="160" t="str">
        <f t="shared" ref="AA13" si="50" xml:space="preserve"> IF( OR(D13&lt;&gt;" "), CONCATENATE( newline &amp; AB13 &amp; AC13 &amp; AD13 &amp; AE13 &amp; AF13 &amp; AG13 &amp; AH13 &amp; AI13 &amp; AJ13 &amp; AK13 ), "" )</f>
        <v xml:space="preserve">
Landing Skids Tarmac                                  0           0      </v>
      </c>
      <c r="AB13" s="161" t="str">
        <f xml:space="preserve"> CONCATENATE( C13 &amp; " " &amp; D13 )</f>
        <v>Landing Skids Tarmac</v>
      </c>
      <c r="AC13" s="160" t="str">
        <f t="shared" si="1"/>
        <v xml:space="preserve">           </v>
      </c>
      <c r="AD13" s="160" t="str">
        <f t="shared" si="2"/>
        <v xml:space="preserve">            </v>
      </c>
      <c r="AE13" s="162" t="str">
        <f t="shared" ref="AE13" si="51" xml:space="preserve"> CONCATENATE( J13 )</f>
        <v/>
      </c>
      <c r="AF13" s="160" t="str">
        <f t="shared" si="3"/>
        <v xml:space="preserve">           </v>
      </c>
      <c r="AG13" s="161" t="str">
        <f t="shared" ref="AG13" si="52" xml:space="preserve"> CONCATENATE( K13 )</f>
        <v>0</v>
      </c>
      <c r="AH13" s="160" t="str">
        <f t="shared" ref="AH13:AH83" si="53" xml:space="preserve"> CONCATENATE( REPT(" ",MAX(0,12-LEN(AI13))) )</f>
        <v xml:space="preserve">           </v>
      </c>
      <c r="AI13" s="163" t="str">
        <f t="shared" ref="AI13" si="54" xml:space="preserve"> CONCATENATE( L13 )</f>
        <v>0</v>
      </c>
      <c r="AJ13" s="160" t="str">
        <f t="shared" si="5"/>
        <v xml:space="preserve">      </v>
      </c>
      <c r="AK13" s="163" t="str">
        <f t="shared" si="14"/>
        <v/>
      </c>
      <c r="AL13" s="163"/>
      <c r="AM13" s="153"/>
      <c r="AN13" s="153"/>
      <c r="AO13" s="153">
        <f xml:space="preserve"> ROUNDUP(K13/35,0) * (C13&lt;&gt;Tables!$A$178 )</f>
        <v>0</v>
      </c>
      <c r="AP13" s="153"/>
      <c r="AQ13" t="str">
        <f xml:space="preserve"> IF( Config=6, Tables!$A$180, Tables!$A$178 )</f>
        <v>Landing Skids</v>
      </c>
      <c r="AR13" t="str">
        <f xml:space="preserve"> IF( Config=6, Tables!$A$180, Tables!$A$179 )</f>
        <v>Landing Legs</v>
      </c>
      <c r="AS13" t="str">
        <f>Tables!$A$180</f>
        <v>Landing Wheels</v>
      </c>
      <c r="AV13" t="str">
        <f xml:space="preserve"> VLOOKUP( $C13, Tables!$A$171:$E$180, 1, 0 )</f>
        <v>Landing Skids</v>
      </c>
      <c r="AW13" t="str">
        <f xml:space="preserve"> VLOOKUP( $C13, Tables!$A$171:$E$180, 2, 0 )</f>
        <v>Tarmac</v>
      </c>
      <c r="AX13">
        <f xml:space="preserve"> VLOOKUP( $C13, Tables!$A$171:$E$180, 3, 0 )</f>
        <v>7</v>
      </c>
      <c r="AY13">
        <f xml:space="preserve"> VLOOKUP( $C13, Tables!$A$171:$E$180, 4, 0 )</f>
        <v>0</v>
      </c>
      <c r="AZ13">
        <f xml:space="preserve"> VLOOKUP( $C13, Tables!$A$171:$E$180, 5, 0 )</f>
        <v>0</v>
      </c>
      <c r="BB13" s="103">
        <f>AX13</f>
        <v>7</v>
      </c>
      <c r="BC13" s="98">
        <f xml:space="preserve"> MIN( $H13, $S13 - BB13)</f>
        <v>0</v>
      </c>
      <c r="BD13" t="s">
        <v>378</v>
      </c>
      <c r="BE13" s="8" t="str">
        <f>VLOOKUP( $BC13, Tables!$A$184:$H$193,  2 )</f>
        <v>Standard</v>
      </c>
      <c r="BF13" s="8" t="str">
        <f>VLOOKUP( $BC13, Tables!$A$184:$H$193,  3 )</f>
        <v>Std</v>
      </c>
      <c r="BG13" s="90">
        <f>VLOOKUP( $BC13, Tables!$A$184:$H$193, 4 )</f>
        <v>0</v>
      </c>
      <c r="BH13" s="8">
        <f>VLOOKUP( $BC13, Tables!$A$184:$H$193,  5 )</f>
        <v>1</v>
      </c>
      <c r="BI13" s="8">
        <f>VLOOKUP( $BC13, Tables!$A$184:$H$193, 6 )</f>
        <v>1</v>
      </c>
      <c r="BP13" t="s">
        <v>52</v>
      </c>
      <c r="BQ13" t="s">
        <v>4</v>
      </c>
      <c r="BR13" t="s">
        <v>937</v>
      </c>
      <c r="BS13" t="s">
        <v>681</v>
      </c>
      <c r="BT13" s="1" t="s">
        <v>838</v>
      </c>
      <c r="DL13">
        <f ca="1" xml:space="preserve"> IF( $BF13=Tables!$C$189, 5, RANDBETWEEN(1,6)+RANDBETWEEN(1,6)-2 )</f>
        <v>8</v>
      </c>
      <c r="DM13">
        <f ca="1" xml:space="preserve"> IF( $BF13=Tables!$C$189, 0, RANDBETWEEN(1,6)-RANDBETWEEN(1,6)+ VLOOKUP( $BC13, Tables!$A$184:$Q$193,  14 ) )</f>
        <v>-4</v>
      </c>
      <c r="DN13">
        <f ca="1" xml:space="preserve"> IF( $BF13=Tables!$C$189, 0, RANDBETWEEN(1,6)-RANDBETWEEN(1,6)+ VLOOKUP( $BC13, Tables!$A$184:$Q$193,  15 ) )</f>
        <v>5</v>
      </c>
      <c r="DO13">
        <f ca="1" xml:space="preserve"> IF( $BF13=Tables!$C$189, 0, RANDBETWEEN(1,6)-RANDBETWEEN(1,6)+ VLOOKUP( $BC13, Tables!$A$184:$Q$193,  16 ) )</f>
        <v>3</v>
      </c>
      <c r="DP13">
        <f ca="1" xml:space="preserve"> IF( $BF13=Tables!$C$189, 0, RANDBETWEEN(1,6)-RANDBETWEEN(1,6)+ VLOOKUP( $BC13, Tables!$A$184:$Q$193,  17 ) )</f>
        <v>-5</v>
      </c>
      <c r="DQ13" s="44" t="str">
        <f ca="1" xml:space="preserve"> VLOOKUP( $DL13,Tables!$B$2:$C$36,2)</f>
        <v>8</v>
      </c>
      <c r="DR13" t="str">
        <f t="shared" ref="DR13" ca="1" si="55" xml:space="preserve"> IF( DM13&lt;0, CONCATENATE( DM13 ), CONCATENATE( " ", DM13 ) )</f>
        <v>-4</v>
      </c>
      <c r="DS13" t="str">
        <f t="shared" ref="DS13" ca="1" si="56" xml:space="preserve"> IF( DN13&lt;0, CONCATENATE( DN13 ), CONCATENATE( " ", DN13 ) )</f>
        <v xml:space="preserve"> 5</v>
      </c>
      <c r="DT13" t="str">
        <f t="shared" ref="DT13" ca="1" si="57" xml:space="preserve"> IF( DO13&lt;0, CONCATENATE( DO13 ), CONCATENATE( " ", DO13 ) )</f>
        <v xml:space="preserve"> 3</v>
      </c>
      <c r="DU13" t="str">
        <f t="shared" ref="DU13" ca="1" si="58" xml:space="preserve"> IF( DP13&lt;0, CONCATENATE( DP13 ), CONCATENATE( " ", DP13 ) )</f>
        <v>-5</v>
      </c>
      <c r="DW13" s="123">
        <f xml:space="preserve"> SUM( DX$4:DX13, -DX13 )</f>
        <v>0</v>
      </c>
      <c r="DX13" s="121">
        <v>0</v>
      </c>
      <c r="DY13" s="123">
        <f xml:space="preserve"> SUM( DZ$4:DZ13, -DZ13 )</f>
        <v>0</v>
      </c>
      <c r="DZ13" s="121">
        <v>0</v>
      </c>
      <c r="EA13" s="123">
        <f xml:space="preserve"> SUM( EB$4:EB13, -EB13 )</f>
        <v>0</v>
      </c>
      <c r="EB13" s="121">
        <v>0</v>
      </c>
      <c r="EC13" s="123">
        <f xml:space="preserve"> SUM( ED$4:ED13, -ED13 )</f>
        <v>0</v>
      </c>
      <c r="ED13" s="121">
        <v>0</v>
      </c>
      <c r="EE13" s="123">
        <f xml:space="preserve"> SUM( EF$4:EF13, -EF13 )</f>
        <v>0</v>
      </c>
      <c r="EF13" s="121">
        <v>0</v>
      </c>
      <c r="EG13" s="123">
        <f xml:space="preserve"> SUM( EH$4:EH13, -EH13 )</f>
        <v>0</v>
      </c>
      <c r="EH13" s="121">
        <v>0</v>
      </c>
      <c r="EI13" s="123">
        <f xml:space="preserve"> SUM( EJ$4:EJ13, -EJ13 )</f>
        <v>0</v>
      </c>
      <c r="EJ13" s="121">
        <v>0</v>
      </c>
      <c r="EK13" s="123">
        <f xml:space="preserve"> SUM( EL$4:EL13, -EL13 )</f>
        <v>0</v>
      </c>
      <c r="EL13" s="194">
        <f t="shared" ref="EL13:EL15" si="59" xml:space="preserve"> $K13</f>
        <v>0</v>
      </c>
      <c r="EM13" s="123">
        <f xml:space="preserve"> SUM( EN$4:EN13, -EN13 )</f>
        <v>0</v>
      </c>
      <c r="EN13" s="121">
        <v>0</v>
      </c>
      <c r="EO13" s="123">
        <f xml:space="preserve"> SUM( EP$4:EP13, -EP13 )</f>
        <v>0</v>
      </c>
      <c r="EP13" s="121">
        <v>0</v>
      </c>
      <c r="EQ13" s="123">
        <f xml:space="preserve"> SUM( ER$4:ER13, -ER13 )</f>
        <v>0</v>
      </c>
      <c r="ER13" s="121">
        <v>0</v>
      </c>
      <c r="ES13" s="123">
        <f xml:space="preserve"> SUM( ET$4:ET13, -ET13 )</f>
        <v>0</v>
      </c>
      <c r="ET13" s="121">
        <v>0</v>
      </c>
      <c r="EU13" s="123">
        <f xml:space="preserve"> SUM( EV$4:EV13, -EV13 )</f>
        <v>0</v>
      </c>
      <c r="EV13" s="121">
        <v>0</v>
      </c>
      <c r="EW13" s="123">
        <f xml:space="preserve"> SUM( EX$4:EX13, -EX13 )</f>
        <v>0</v>
      </c>
      <c r="EX13" s="121">
        <v>0</v>
      </c>
      <c r="EZ13" t="str">
        <f t="shared" si="15"/>
        <v>Legs</v>
      </c>
      <c r="FB13" s="237">
        <f xml:space="preserve"> SUM( FC$4:FC13, -FC13 )</f>
        <v>1</v>
      </c>
      <c r="FC13" s="237">
        <v>0</v>
      </c>
      <c r="FD13" s="237">
        <f xml:space="preserve"> SUM( FE$4:FE13, -FE13 )</f>
        <v>1</v>
      </c>
      <c r="FE13" s="237">
        <v>0</v>
      </c>
      <c r="FF13" t="str">
        <f t="shared" si="16"/>
        <v>Legs</v>
      </c>
    </row>
    <row r="14" spans="1:162">
      <c r="A14" t="s">
        <v>846</v>
      </c>
      <c r="B14" s="8" t="str">
        <f t="shared" ref="B14:B18" si="60">BF14</f>
        <v>Std</v>
      </c>
      <c r="C14" s="63" t="str">
        <f>AQ14</f>
        <v xml:space="preserve"> </v>
      </c>
      <c r="D14" s="66" t="str">
        <f t="shared" ref="D14:D16" si="61">AW14</f>
        <v xml:space="preserve"> </v>
      </c>
      <c r="E14" s="66"/>
      <c r="F14" s="66"/>
      <c r="G14" s="66" t="str">
        <f xml:space="preserve"> IF( ($I$5&gt;=6)*(C14=AQ14), "Included", "" )</f>
        <v/>
      </c>
      <c r="H14" s="57">
        <v>0</v>
      </c>
      <c r="I14" s="4"/>
      <c r="J14" s="3"/>
      <c r="K14" s="249">
        <f xml:space="preserve"> Hull/100 * AY14 + BT14</f>
        <v>0</v>
      </c>
      <c r="L14" s="194">
        <f xml:space="preserve"> Hull/100 * AZ14 * (C14&lt;&gt;AQ14) * BI14 * ( 1 + 0.1*($S14=TL+1) )</f>
        <v>0</v>
      </c>
      <c r="M14" s="3"/>
      <c r="N14" s="48"/>
      <c r="O14" s="3"/>
      <c r="Q14" s="16" t="str">
        <f xml:space="preserve"> IF( BP14=0, BL14, IF( BP14&lt;50, BM14, BN14 ) )</f>
        <v/>
      </c>
      <c r="S14" s="223">
        <f t="shared" si="49"/>
        <v>12</v>
      </c>
      <c r="T14" t="str">
        <f xml:space="preserve"> IF( D14&lt;&gt;" ", CONCATENATE( DQ14, DR14, DS14, DT14, DU14 ), "" )</f>
        <v/>
      </c>
      <c r="Z14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</v>
      </c>
      <c r="AA14" s="160" t="str">
        <f xml:space="preserve"> IF( OR(D14&lt;&gt;" "), CONCATENATE( newline &amp; AB14 &amp; AC14 &amp; AD14 &amp; AE14 &amp; AF14 &amp; AG14 &amp; AH14 &amp; AI14 &amp; AJ14 &amp; AK14 ), "" )</f>
        <v/>
      </c>
      <c r="AB14" s="161" t="str">
        <f t="shared" ref="AB14:AB16" si="62" xml:space="preserve"> CONCATENATE( C14 &amp; " " &amp; D14 )</f>
        <v xml:space="preserve">   </v>
      </c>
      <c r="AC14" s="160" t="str">
        <f t="shared" si="1"/>
        <v xml:space="preserve">                            </v>
      </c>
      <c r="AD14" s="160" t="str">
        <f t="shared" si="2"/>
        <v xml:space="preserve">            </v>
      </c>
      <c r="AE14" s="162" t="str">
        <f t="shared" ref="AE14:AE48" si="63" xml:space="preserve"> CONCATENATE( J14 )</f>
        <v/>
      </c>
      <c r="AF14" s="160" t="str">
        <f t="shared" si="3"/>
        <v xml:space="preserve">           </v>
      </c>
      <c r="AG14" s="161" t="str">
        <f t="shared" ref="AG14:AG48" si="64" xml:space="preserve"> CONCATENATE( K14 )</f>
        <v>0</v>
      </c>
      <c r="AH14" s="160" t="str">
        <f t="shared" si="53"/>
        <v xml:space="preserve">           </v>
      </c>
      <c r="AI14" s="163" t="str">
        <f t="shared" ref="AI14:AI48" si="65" xml:space="preserve"> CONCATENATE( L14 )</f>
        <v>0</v>
      </c>
      <c r="AJ14" s="160" t="str">
        <f t="shared" si="5"/>
        <v xml:space="preserve">      </v>
      </c>
      <c r="AK14" s="163" t="str">
        <f t="shared" si="14"/>
        <v/>
      </c>
      <c r="AL14" s="163"/>
      <c r="AM14" s="153"/>
      <c r="AN14" s="153"/>
      <c r="AO14" s="153">
        <f xml:space="preserve"> ROUNDUP(K14/35,0) * ( C14=Tables!$A$177 )</f>
        <v>0</v>
      </c>
      <c r="AP14" s="153"/>
      <c r="AQ14" t="str">
        <f xml:space="preserve"> IF( Config&gt;=6, Tables!$A$176, Tables!$A$171 )</f>
        <v xml:space="preserve"> </v>
      </c>
      <c r="AR14" t="str">
        <f xml:space="preserve"> IF( Config&gt;=4, Tables!$A$176, Tables!$A$171 )</f>
        <v>Wings</v>
      </c>
      <c r="AS14" t="str">
        <f xml:space="preserve"> IF( Config&lt;=3, Tables!$A$171, IF( Config&lt;=5, Tables!$A$177, Tables!$A$176  ) )</f>
        <v>Folding Wings</v>
      </c>
      <c r="AT14" s="77"/>
      <c r="AU14" s="77"/>
      <c r="AV14" t="str">
        <f xml:space="preserve"> VLOOKUP( $C14, Tables!$A$171:$E$180, 1, 0 )</f>
        <v xml:space="preserve"> </v>
      </c>
      <c r="AW14" t="str">
        <f xml:space="preserve"> VLOOKUP( $C14, Tables!$A$171:$E$180, 2, 0 )</f>
        <v xml:space="preserve"> </v>
      </c>
      <c r="AX14">
        <f xml:space="preserve"> VLOOKUP( $C14, Tables!$A$171:$E$180, 3, 0 )</f>
        <v>0</v>
      </c>
      <c r="AY14">
        <f xml:space="preserve"> VLOOKUP( $C14, Tables!$A$171:$E$180, 4, 0 )</f>
        <v>0</v>
      </c>
      <c r="AZ14">
        <f xml:space="preserve"> VLOOKUP( $C14, Tables!$A$171:$E$180, 5, 0 )</f>
        <v>0</v>
      </c>
      <c r="BB14" s="103">
        <f t="shared" ref="BB14:BB16" si="66">AX14</f>
        <v>0</v>
      </c>
      <c r="BC14" s="98">
        <f t="shared" ref="BC14:BC17" si="67" xml:space="preserve"> MIN( $H14, $S14 - BB14)</f>
        <v>0</v>
      </c>
      <c r="BD14" t="s">
        <v>378</v>
      </c>
      <c r="BE14" s="8" t="str">
        <f>VLOOKUP( $BC14, Tables!$A$184:$H$193,  2 )</f>
        <v>Standard</v>
      </c>
      <c r="BF14" s="8" t="str">
        <f>VLOOKUP( $BC14, Tables!$A$184:$H$193,  3 )</f>
        <v>Std</v>
      </c>
      <c r="BG14" s="90">
        <f>VLOOKUP( $BC14, Tables!$A$184:$H$193, 4 )</f>
        <v>0</v>
      </c>
      <c r="BH14" s="8">
        <f>VLOOKUP( $BC14, Tables!$A$184:$H$193,  5 )</f>
        <v>1</v>
      </c>
      <c r="BI14" s="8">
        <f>VLOOKUP( $BC14, Tables!$A$184:$H$193, 6 )</f>
        <v>1</v>
      </c>
      <c r="BL14" t="str">
        <f>""</f>
        <v/>
      </c>
      <c r="BM14" t="s">
        <v>937</v>
      </c>
      <c r="BN14" t="s">
        <v>1006</v>
      </c>
      <c r="BO14" t="s">
        <v>1138</v>
      </c>
      <c r="BP14">
        <f xml:space="preserve"> SUM( $BQ$14:$BQ$15 )</f>
        <v>0</v>
      </c>
      <c r="BQ14">
        <f xml:space="preserve"> HullBase*5% * (C14=Tables!$A$176) * (Config&lt;6)</f>
        <v>0</v>
      </c>
      <c r="BR14">
        <f xml:space="preserve"> $BQ14 * ($Q14=BM14)</f>
        <v>0</v>
      </c>
      <c r="BS14">
        <f xml:space="preserve"> $BQ14 * ($Q14=BN14)</f>
        <v>0</v>
      </c>
      <c r="BT14">
        <f xml:space="preserve"> -$BQ14 * ($Q14=BO14)</f>
        <v>0</v>
      </c>
      <c r="CF14" s="1" t="s">
        <v>120</v>
      </c>
      <c r="CG14">
        <v>2</v>
      </c>
      <c r="CI14">
        <v>4</v>
      </c>
      <c r="CK14">
        <v>3</v>
      </c>
      <c r="CM14">
        <v>5</v>
      </c>
      <c r="CQ14">
        <v>6</v>
      </c>
      <c r="CS14">
        <v>7</v>
      </c>
      <c r="DL14">
        <f ca="1" xml:space="preserve"> IF( $BF14=Tables!$C$189, 5, RANDBETWEEN(1,6)+RANDBETWEEN(1,6)-2 )</f>
        <v>2</v>
      </c>
      <c r="DM14">
        <f ca="1" xml:space="preserve"> IF( $BF14=Tables!$C$189, 0, RANDBETWEEN(1,6)-RANDBETWEEN(1,6)+ VLOOKUP( $BC14, Tables!$A$184:$Q$193,  14 ) )</f>
        <v>2</v>
      </c>
      <c r="DN14">
        <f ca="1" xml:space="preserve"> IF( $BF14=Tables!$C$189, 0, RANDBETWEEN(1,6)-RANDBETWEEN(1,6)+ VLOOKUP( $BC14, Tables!$A$184:$Q$193,  15 ) )</f>
        <v>0</v>
      </c>
      <c r="DO14">
        <f ca="1" xml:space="preserve"> IF( $BF14=Tables!$C$189, 0, RANDBETWEEN(1,6)-RANDBETWEEN(1,6)+ VLOOKUP( $BC14, Tables!$A$184:$Q$193,  16 ) )</f>
        <v>3</v>
      </c>
      <c r="DP14">
        <f ca="1" xml:space="preserve"> IF( $BF14=Tables!$C$189, 0, RANDBETWEEN(1,6)-RANDBETWEEN(1,6)+ VLOOKUP( $BC14, Tables!$A$184:$Q$193,  17 ) )</f>
        <v>-3</v>
      </c>
      <c r="DQ14" s="44" t="str">
        <f ca="1" xml:space="preserve"> VLOOKUP( $DL14,Tables!$B$2:$C$36,2)</f>
        <v>2</v>
      </c>
      <c r="DR14" t="str">
        <f t="shared" ref="DR14:DR18" ca="1" si="68" xml:space="preserve"> IF( DM14&lt;0, CONCATENATE( DM14 ), CONCATENATE( " ", DM14 ) )</f>
        <v xml:space="preserve"> 2</v>
      </c>
      <c r="DS14" t="str">
        <f t="shared" ref="DS14:DS18" ca="1" si="69" xml:space="preserve"> IF( DN14&lt;0, CONCATENATE( DN14 ), CONCATENATE( " ", DN14 ) )</f>
        <v xml:space="preserve"> 0</v>
      </c>
      <c r="DT14" t="str">
        <f t="shared" ref="DT14:DT18" ca="1" si="70" xml:space="preserve"> IF( DO14&lt;0, CONCATENATE( DO14 ), CONCATENATE( " ", DO14 ) )</f>
        <v xml:space="preserve"> 3</v>
      </c>
      <c r="DU14" t="str">
        <f t="shared" ref="DU14:DU18" ca="1" si="71" xml:space="preserve"> IF( DP14&lt;0, CONCATENATE( DP14 ), CONCATENATE( " ", DP14 ) )</f>
        <v>-3</v>
      </c>
      <c r="DW14" s="123">
        <f xml:space="preserve"> SUM( DX$4:DX14, -DX14 )</f>
        <v>0</v>
      </c>
      <c r="DX14" s="121">
        <v>0</v>
      </c>
      <c r="DY14" s="123">
        <f xml:space="preserve"> SUM( DZ$4:DZ14, -DZ14 )</f>
        <v>0</v>
      </c>
      <c r="DZ14" s="121">
        <v>0</v>
      </c>
      <c r="EA14" s="123">
        <f xml:space="preserve"> SUM( EB$4:EB14, -EB14 )</f>
        <v>0</v>
      </c>
      <c r="EB14" s="121">
        <v>0</v>
      </c>
      <c r="EC14" s="123">
        <f xml:space="preserve"> SUM( ED$4:ED14, -ED14 )</f>
        <v>0</v>
      </c>
      <c r="ED14" s="121">
        <v>0</v>
      </c>
      <c r="EE14" s="123">
        <f xml:space="preserve"> SUM( EF$4:EF14, -EF14 )</f>
        <v>0</v>
      </c>
      <c r="EF14" s="121">
        <v>0</v>
      </c>
      <c r="EG14" s="123">
        <f xml:space="preserve"> SUM( EH$4:EH14, -EH14 )</f>
        <v>0</v>
      </c>
      <c r="EH14" s="121">
        <v>0</v>
      </c>
      <c r="EI14" s="123">
        <f xml:space="preserve"> SUM( EJ$4:EJ14, -EJ14 )</f>
        <v>0</v>
      </c>
      <c r="EJ14" s="121">
        <v>0</v>
      </c>
      <c r="EK14" s="123">
        <f xml:space="preserve"> SUM( EL$4:EL14, -EL14 )</f>
        <v>0</v>
      </c>
      <c r="EL14" s="194">
        <f t="shared" si="59"/>
        <v>0</v>
      </c>
      <c r="EM14" s="123">
        <f xml:space="preserve"> SUM( EN$4:EN14, -EN14 )</f>
        <v>0</v>
      </c>
      <c r="EN14" s="121">
        <v>0</v>
      </c>
      <c r="EO14" s="123">
        <f xml:space="preserve"> SUM( EP$4:EP14, -EP14 )</f>
        <v>0</v>
      </c>
      <c r="EP14" s="121">
        <v>0</v>
      </c>
      <c r="EQ14" s="123">
        <f xml:space="preserve"> SUM( ER$4:ER14, -ER14 )</f>
        <v>0</v>
      </c>
      <c r="ER14" s="121">
        <v>0</v>
      </c>
      <c r="ES14" s="123">
        <f xml:space="preserve"> SUM( ET$4:ET14, -ET14 )</f>
        <v>0</v>
      </c>
      <c r="ET14" s="121">
        <v>0</v>
      </c>
      <c r="EU14" s="123">
        <f xml:space="preserve"> SUM( EV$4:EV14, -EV14 )</f>
        <v>0</v>
      </c>
      <c r="EV14" s="121">
        <v>0</v>
      </c>
      <c r="EW14" s="123">
        <f xml:space="preserve"> SUM( EX$4:EX14, -EX14 )</f>
        <v>0</v>
      </c>
      <c r="EX14" s="121">
        <v>0</v>
      </c>
      <c r="EZ14" t="str">
        <f t="shared" si="15"/>
        <v>Wings</v>
      </c>
      <c r="FB14" s="237">
        <f xml:space="preserve"> SUM( FC$4:FC14, -FC14 )</f>
        <v>1</v>
      </c>
      <c r="FC14" s="237">
        <v>0</v>
      </c>
      <c r="FD14" s="237">
        <f xml:space="preserve"> SUM( FE$4:FE14, -FE14 )</f>
        <v>1</v>
      </c>
      <c r="FE14" s="237">
        <v>0</v>
      </c>
      <c r="FF14" t="str">
        <f t="shared" si="16"/>
        <v>Wings</v>
      </c>
    </row>
    <row r="15" spans="1:162">
      <c r="A15" t="s">
        <v>315</v>
      </c>
      <c r="B15" s="8" t="str">
        <f t="shared" si="60"/>
        <v>Std</v>
      </c>
      <c r="C15" s="63" t="str">
        <f>AQ15</f>
        <v xml:space="preserve"> </v>
      </c>
      <c r="D15" s="66" t="str">
        <f t="shared" si="61"/>
        <v xml:space="preserve"> </v>
      </c>
      <c r="E15" s="66"/>
      <c r="F15" s="66"/>
      <c r="G15" s="66" t="str">
        <f xml:space="preserve"> IF( ($I$5=6)*(C15=AQ15), "Included", "" )</f>
        <v/>
      </c>
      <c r="H15" s="57">
        <v>0</v>
      </c>
      <c r="I15" s="4"/>
      <c r="J15" s="3"/>
      <c r="K15" s="249">
        <f xml:space="preserve"> Hull/100 * AY15 + BT15</f>
        <v>0</v>
      </c>
      <c r="L15" s="194">
        <f xml:space="preserve"> Hull/100 * AZ15 * (C15&lt;&gt;AQ15) * BI15 * ( 1 + 0.1*($S15=TL+1) )</f>
        <v>0</v>
      </c>
      <c r="M15" s="3"/>
      <c r="N15" s="48"/>
      <c r="O15" s="3"/>
      <c r="Q15" s="16" t="str">
        <f xml:space="preserve"> IF( BP15=0, BL15, IF( BP15&lt;50, BM15, BN15 ) )</f>
        <v/>
      </c>
      <c r="S15" s="223">
        <f t="shared" si="49"/>
        <v>12</v>
      </c>
      <c r="T15" t="str">
        <f xml:space="preserve"> IF( D15&lt;&gt;" ", CONCATENATE( DQ15, DR15, DS15, DT15, DU15 ), "" )</f>
        <v/>
      </c>
      <c r="Z15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</v>
      </c>
      <c r="AA15" s="160" t="str">
        <f t="shared" ref="AA15:AA17" si="72" xml:space="preserve"> IF( OR(D15&lt;&gt;" "), CONCATENATE( newline &amp; AB15 &amp; AC15 &amp; AD15 &amp; AE15 &amp; AF15 &amp; AG15 &amp; AH15 &amp; AI15 &amp; AJ15 &amp; AK15 ), "" )</f>
        <v/>
      </c>
      <c r="AB15" s="161" t="str">
        <f t="shared" si="62"/>
        <v xml:space="preserve">   </v>
      </c>
      <c r="AC15" s="160" t="str">
        <f t="shared" si="1"/>
        <v xml:space="preserve">                            </v>
      </c>
      <c r="AD15" s="160" t="str">
        <f t="shared" si="2"/>
        <v xml:space="preserve">            </v>
      </c>
      <c r="AE15" s="162" t="str">
        <f t="shared" si="63"/>
        <v/>
      </c>
      <c r="AF15" s="160" t="str">
        <f t="shared" si="3"/>
        <v xml:space="preserve">           </v>
      </c>
      <c r="AG15" s="161" t="str">
        <f t="shared" si="64"/>
        <v>0</v>
      </c>
      <c r="AH15" s="160" t="str">
        <f t="shared" si="53"/>
        <v xml:space="preserve">           </v>
      </c>
      <c r="AI15" s="163" t="str">
        <f t="shared" si="65"/>
        <v>0</v>
      </c>
      <c r="AJ15" s="160" t="str">
        <f t="shared" si="5"/>
        <v xml:space="preserve">      </v>
      </c>
      <c r="AK15" s="163" t="str">
        <f t="shared" si="14"/>
        <v/>
      </c>
      <c r="AL15" s="163"/>
      <c r="AM15" s="153"/>
      <c r="AN15" s="153"/>
      <c r="AO15" s="153">
        <f xml:space="preserve"> ROUNDUP(K15/35,0) * ( C15=Tables!$A$175 )</f>
        <v>0</v>
      </c>
      <c r="AP15" s="153"/>
      <c r="AQ15" t="str">
        <f xml:space="preserve"> IF( Config=6, Tables!$A$174, Tables!$A$171 )</f>
        <v xml:space="preserve"> </v>
      </c>
      <c r="AR15" t="str">
        <f xml:space="preserve"> IF( Config&gt;=4, Tables!$A$174, Tables!$A$171 )</f>
        <v>Fins</v>
      </c>
      <c r="AS15" t="str">
        <f xml:space="preserve"> IF( Config&lt;=3, Tables!$A$171, IF( Config&lt;=5, Tables!$A$175, Tables!$A$174  ) )</f>
        <v>Folding Fins</v>
      </c>
      <c r="AT15" s="77"/>
      <c r="AU15" s="77"/>
      <c r="AV15" t="str">
        <f xml:space="preserve"> VLOOKUP( $C15, Tables!$A$171:$E$180, 1, 0 )</f>
        <v xml:space="preserve"> </v>
      </c>
      <c r="AW15" t="str">
        <f xml:space="preserve"> VLOOKUP( $C15, Tables!$A$171:$E$180, 2, 0 )</f>
        <v xml:space="preserve"> </v>
      </c>
      <c r="AX15">
        <f xml:space="preserve"> VLOOKUP( $C15, Tables!$A$171:$E$180, 3, 0 )</f>
        <v>0</v>
      </c>
      <c r="AY15">
        <f xml:space="preserve"> VLOOKUP( $C15, Tables!$A$171:$E$180, 4, 0 )</f>
        <v>0</v>
      </c>
      <c r="AZ15">
        <f xml:space="preserve"> VLOOKUP( $C15, Tables!$A$171:$E$180, 5, 0 )</f>
        <v>0</v>
      </c>
      <c r="BB15" s="103">
        <f t="shared" si="66"/>
        <v>0</v>
      </c>
      <c r="BC15" s="98">
        <f t="shared" si="67"/>
        <v>0</v>
      </c>
      <c r="BD15" t="s">
        <v>378</v>
      </c>
      <c r="BE15" s="8" t="str">
        <f>VLOOKUP( $BC15, Tables!$A$184:$H$193,  2 )</f>
        <v>Standard</v>
      </c>
      <c r="BF15" s="8" t="str">
        <f>VLOOKUP( $BC15, Tables!$A$184:$H$193,  3 )</f>
        <v>Std</v>
      </c>
      <c r="BG15" s="90">
        <f>VLOOKUP( $BC15, Tables!$A$184:$H$193, 4 )</f>
        <v>0</v>
      </c>
      <c r="BH15" s="8">
        <f>VLOOKUP( $BC15, Tables!$A$184:$H$193,  5 )</f>
        <v>1</v>
      </c>
      <c r="BI15" s="8">
        <f>VLOOKUP( $BC15, Tables!$A$184:$H$193, 6 )</f>
        <v>1</v>
      </c>
      <c r="BL15" t="str">
        <f>""</f>
        <v/>
      </c>
      <c r="BM15" t="s">
        <v>937</v>
      </c>
      <c r="BN15" t="s">
        <v>1006</v>
      </c>
      <c r="BO15" t="s">
        <v>1138</v>
      </c>
      <c r="BP15">
        <f xml:space="preserve"> SUM( $BQ$14:$BQ$15 )</f>
        <v>0</v>
      </c>
      <c r="BQ15">
        <f xml:space="preserve"> HullBase*2% * (C15=Tables!$A$174) * (Config&lt;&gt;6)</f>
        <v>0</v>
      </c>
      <c r="BR15">
        <f xml:space="preserve"> $BQ15 * ($Q15=BM15)</f>
        <v>0</v>
      </c>
      <c r="BS15">
        <f xml:space="preserve"> $BQ15 * ($Q15=BN15)</f>
        <v>0</v>
      </c>
      <c r="BT15">
        <f xml:space="preserve"> -$BQ15 * ($Q15=BO15)</f>
        <v>0</v>
      </c>
      <c r="DL15">
        <f ca="1" xml:space="preserve"> IF( $BF15=Tables!$C$189, 5, RANDBETWEEN(1,6)+RANDBETWEEN(1,6)-2 )</f>
        <v>6</v>
      </c>
      <c r="DM15">
        <f ca="1" xml:space="preserve"> IF( $BF15=Tables!$C$189, 0, RANDBETWEEN(1,6)-RANDBETWEEN(1,6)+ VLOOKUP( $BC15, Tables!$A$184:$Q$193,  14 ) )</f>
        <v>2</v>
      </c>
      <c r="DN15">
        <f ca="1" xml:space="preserve"> IF( $BF15=Tables!$C$189, 0, RANDBETWEEN(1,6)-RANDBETWEEN(1,6)+ VLOOKUP( $BC15, Tables!$A$184:$Q$193,  15 ) )</f>
        <v>3</v>
      </c>
      <c r="DO15">
        <f ca="1" xml:space="preserve"> IF( $BF15=Tables!$C$189, 0, RANDBETWEEN(1,6)-RANDBETWEEN(1,6)+ VLOOKUP( $BC15, Tables!$A$184:$Q$193,  16 ) )</f>
        <v>0</v>
      </c>
      <c r="DP15">
        <f ca="1" xml:space="preserve"> IF( $BF15=Tables!$C$189, 0, RANDBETWEEN(1,6)-RANDBETWEEN(1,6)+ VLOOKUP( $BC15, Tables!$A$184:$Q$193,  17 ) )</f>
        <v>-2</v>
      </c>
      <c r="DQ15" s="44" t="str">
        <f ca="1" xml:space="preserve"> VLOOKUP( $DL15,Tables!$B$2:$C$36,2)</f>
        <v>6</v>
      </c>
      <c r="DR15" t="str">
        <f t="shared" ca="1" si="68"/>
        <v xml:space="preserve"> 2</v>
      </c>
      <c r="DS15" t="str">
        <f t="shared" ca="1" si="69"/>
        <v xml:space="preserve"> 3</v>
      </c>
      <c r="DT15" t="str">
        <f t="shared" ca="1" si="70"/>
        <v xml:space="preserve"> 0</v>
      </c>
      <c r="DU15" t="str">
        <f t="shared" ca="1" si="71"/>
        <v>-2</v>
      </c>
      <c r="DW15" s="123">
        <f xml:space="preserve"> SUM( DX$4:DX15, -DX15 )</f>
        <v>0</v>
      </c>
      <c r="DX15" s="121">
        <v>0</v>
      </c>
      <c r="DY15" s="123">
        <f xml:space="preserve"> SUM( DZ$4:DZ15, -DZ15 )</f>
        <v>0</v>
      </c>
      <c r="DZ15" s="121">
        <v>0</v>
      </c>
      <c r="EA15" s="123">
        <f xml:space="preserve"> SUM( EB$4:EB15, -EB15 )</f>
        <v>0</v>
      </c>
      <c r="EB15" s="121">
        <v>0</v>
      </c>
      <c r="EC15" s="123">
        <f xml:space="preserve"> SUM( ED$4:ED15, -ED15 )</f>
        <v>0</v>
      </c>
      <c r="ED15" s="121">
        <v>0</v>
      </c>
      <c r="EE15" s="123">
        <f xml:space="preserve"> SUM( EF$4:EF15, -EF15 )</f>
        <v>0</v>
      </c>
      <c r="EF15" s="121">
        <v>0</v>
      </c>
      <c r="EG15" s="123">
        <f xml:space="preserve"> SUM( EH$4:EH15, -EH15 )</f>
        <v>0</v>
      </c>
      <c r="EH15" s="121">
        <v>0</v>
      </c>
      <c r="EI15" s="123">
        <f xml:space="preserve"> SUM( EJ$4:EJ15, -EJ15 )</f>
        <v>0</v>
      </c>
      <c r="EJ15" s="121">
        <v>0</v>
      </c>
      <c r="EK15" s="123">
        <f xml:space="preserve"> SUM( EL$4:EL15, -EL15 )</f>
        <v>0</v>
      </c>
      <c r="EL15" s="194">
        <f t="shared" si="59"/>
        <v>0</v>
      </c>
      <c r="EM15" s="123">
        <f xml:space="preserve"> SUM( EN$4:EN15, -EN15 )</f>
        <v>0</v>
      </c>
      <c r="EN15" s="121">
        <v>0</v>
      </c>
      <c r="EO15" s="123">
        <f xml:space="preserve"> SUM( EP$4:EP15, -EP15 )</f>
        <v>0</v>
      </c>
      <c r="EP15" s="121">
        <v>0</v>
      </c>
      <c r="EQ15" s="123">
        <f xml:space="preserve"> SUM( ER$4:ER15, -ER15 )</f>
        <v>0</v>
      </c>
      <c r="ER15" s="121">
        <v>0</v>
      </c>
      <c r="ES15" s="123">
        <f xml:space="preserve"> SUM( ET$4:ET15, -ET15 )</f>
        <v>0</v>
      </c>
      <c r="ET15" s="121">
        <v>0</v>
      </c>
      <c r="EU15" s="123">
        <f xml:space="preserve"> SUM( EV$4:EV15, -EV15 )</f>
        <v>0</v>
      </c>
      <c r="EV15" s="121">
        <v>0</v>
      </c>
      <c r="EW15" s="123">
        <f xml:space="preserve"> SUM( EX$4:EX15, -EX15 )</f>
        <v>0</v>
      </c>
      <c r="EX15" s="121">
        <v>0</v>
      </c>
      <c r="EZ15" t="str">
        <f t="shared" si="15"/>
        <v>Fins</v>
      </c>
      <c r="FB15" s="237">
        <f xml:space="preserve"> SUM( FC$4:FC15, -FC15 )</f>
        <v>1</v>
      </c>
      <c r="FC15" s="237">
        <v>0</v>
      </c>
      <c r="FD15" s="237">
        <f xml:space="preserve"> SUM( FE$4:FE15, -FE15 )</f>
        <v>1</v>
      </c>
      <c r="FE15" s="237">
        <v>0</v>
      </c>
      <c r="FF15" t="str">
        <f t="shared" si="16"/>
        <v>Fins</v>
      </c>
    </row>
    <row r="16" spans="1:162">
      <c r="A16" t="s">
        <v>640</v>
      </c>
      <c r="B16" s="8" t="str">
        <f t="shared" si="60"/>
        <v>Std</v>
      </c>
      <c r="C16" s="63" t="str">
        <f>AQ16</f>
        <v xml:space="preserve"> </v>
      </c>
      <c r="D16" s="66" t="str">
        <f t="shared" si="61"/>
        <v xml:space="preserve"> </v>
      </c>
      <c r="E16" s="66"/>
      <c r="F16" s="66"/>
      <c r="G16" s="66" t="str">
        <f xml:space="preserve"> IF( ($I$5&gt;=7)*(C16=AQ16), "Included", "" )</f>
        <v/>
      </c>
      <c r="H16" s="57">
        <v>0</v>
      </c>
      <c r="I16" s="4"/>
      <c r="J16" s="48"/>
      <c r="K16" s="51">
        <f xml:space="preserve"> Hull/100 * AY16 * (C16&lt;&gt;AQ16)</f>
        <v>0</v>
      </c>
      <c r="L16" s="194">
        <f xml:space="preserve"> Hull/100 * AZ16 * (C16&lt;&gt;AQ16) * BI16 * ( 1 + 0.1*($S16=TL+1) )</f>
        <v>0</v>
      </c>
      <c r="M16" s="48"/>
      <c r="N16" s="48"/>
      <c r="O16" s="48"/>
      <c r="S16" s="223">
        <f t="shared" si="49"/>
        <v>12</v>
      </c>
      <c r="T16" t="str">
        <f xml:space="preserve"> IF( D16&lt;&gt;" ", CONCATENATE( DQ16, DR16, DS16, DT16, DU16 ), "" )</f>
        <v/>
      </c>
      <c r="Z16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</v>
      </c>
      <c r="AA16" s="160" t="str">
        <f t="shared" si="72"/>
        <v/>
      </c>
      <c r="AB16" s="161" t="str">
        <f t="shared" si="62"/>
        <v xml:space="preserve">   </v>
      </c>
      <c r="AC16" s="160" t="str">
        <f t="shared" si="1"/>
        <v xml:space="preserve">                            </v>
      </c>
      <c r="AD16" s="160" t="str">
        <f t="shared" si="2"/>
        <v xml:space="preserve">            </v>
      </c>
      <c r="AE16" s="162" t="str">
        <f t="shared" si="63"/>
        <v/>
      </c>
      <c r="AF16" s="160" t="str">
        <f t="shared" si="3"/>
        <v xml:space="preserve">           </v>
      </c>
      <c r="AG16" s="161" t="str">
        <f t="shared" si="64"/>
        <v>0</v>
      </c>
      <c r="AH16" s="160" t="str">
        <f t="shared" si="53"/>
        <v xml:space="preserve">           </v>
      </c>
      <c r="AI16" s="163" t="str">
        <f t="shared" si="65"/>
        <v>0</v>
      </c>
      <c r="AJ16" s="160" t="str">
        <f t="shared" si="5"/>
        <v xml:space="preserve">      </v>
      </c>
      <c r="AK16" s="163" t="str">
        <f t="shared" si="14"/>
        <v/>
      </c>
      <c r="AL16" s="163"/>
      <c r="AM16" s="153"/>
      <c r="AN16" s="153"/>
      <c r="AO16" s="153">
        <f xml:space="preserve"> ROUNDUP(K16/35,0) * ( C16=Tables!$A$173 )</f>
        <v>0</v>
      </c>
      <c r="AP16" s="153"/>
      <c r="AQ16" t="str">
        <f xml:space="preserve"> IF( Config&gt;=7, Tables!$A$172, Tables!$A$171 )</f>
        <v xml:space="preserve"> </v>
      </c>
      <c r="AR16" t="str">
        <f>Tables!A172</f>
        <v>Floatation</v>
      </c>
      <c r="AS16" t="str">
        <f>Tables!A173</f>
        <v>Submersible</v>
      </c>
      <c r="AV16" t="str">
        <f xml:space="preserve"> VLOOKUP( $C16, Tables!$A$171:$E$180, 1, 0 )</f>
        <v xml:space="preserve"> </v>
      </c>
      <c r="AW16" t="str">
        <f xml:space="preserve"> VLOOKUP( $C16, Tables!$A$171:$E$180, 2, 0 )</f>
        <v xml:space="preserve"> </v>
      </c>
      <c r="AX16">
        <f xml:space="preserve"> VLOOKUP( $C16, Tables!$A$171:$E$180, 3, 0 )</f>
        <v>0</v>
      </c>
      <c r="AY16">
        <f xml:space="preserve"> VLOOKUP( $C16, Tables!$A$171:$E$180, 4, 0 )</f>
        <v>0</v>
      </c>
      <c r="AZ16">
        <f xml:space="preserve"> VLOOKUP( $C16, Tables!$A$171:$E$180, 5, 0 )</f>
        <v>0</v>
      </c>
      <c r="BB16" s="103">
        <f t="shared" si="66"/>
        <v>0</v>
      </c>
      <c r="BC16" s="98">
        <f t="shared" si="67"/>
        <v>0</v>
      </c>
      <c r="BD16" t="s">
        <v>378</v>
      </c>
      <c r="BE16" s="8" t="str">
        <f>VLOOKUP( $BC16, Tables!$A$184:$H$193,  2 )</f>
        <v>Standard</v>
      </c>
      <c r="BF16" s="8" t="str">
        <f>VLOOKUP( $BC16, Tables!$A$184:$H$193,  3 )</f>
        <v>Std</v>
      </c>
      <c r="BG16" s="90">
        <f>VLOOKUP( $BC16, Tables!$A$184:$H$193, 4 )</f>
        <v>0</v>
      </c>
      <c r="BH16" s="8">
        <f>VLOOKUP( $BC16, Tables!$A$184:$H$193,  5 )</f>
        <v>1</v>
      </c>
      <c r="BI16" s="8">
        <f>VLOOKUP( $BC16, Tables!$A$184:$H$193, 6 )</f>
        <v>1</v>
      </c>
      <c r="DL16">
        <f ca="1" xml:space="preserve"> IF( $BF16=Tables!$C$189, 5, RANDBETWEEN(1,6)+RANDBETWEEN(1,6)-2 )</f>
        <v>3</v>
      </c>
      <c r="DM16">
        <f ca="1" xml:space="preserve"> IF( $BF16=Tables!$C$189, 0, RANDBETWEEN(1,6)-RANDBETWEEN(1,6)+ VLOOKUP( $BC16, Tables!$A$184:$Q$193,  14 ) )</f>
        <v>3</v>
      </c>
      <c r="DN16">
        <f ca="1" xml:space="preserve"> IF( $BF16=Tables!$C$189, 0, RANDBETWEEN(1,6)-RANDBETWEEN(1,6)+ VLOOKUP( $BC16, Tables!$A$184:$Q$193,  15 ) )</f>
        <v>-2</v>
      </c>
      <c r="DO16">
        <f ca="1" xml:space="preserve"> IF( $BF16=Tables!$C$189, 0, RANDBETWEEN(1,6)-RANDBETWEEN(1,6)+ VLOOKUP( $BC16, Tables!$A$184:$Q$193,  16 ) )</f>
        <v>4</v>
      </c>
      <c r="DP16">
        <f ca="1" xml:space="preserve"> IF( $BF16=Tables!$C$189, 0, RANDBETWEEN(1,6)-RANDBETWEEN(1,6)+ VLOOKUP( $BC16, Tables!$A$184:$Q$193,  17 ) )</f>
        <v>-1</v>
      </c>
      <c r="DQ16" s="44" t="str">
        <f ca="1" xml:space="preserve"> VLOOKUP( $DL16,Tables!$B$2:$C$36,2)</f>
        <v>3</v>
      </c>
      <c r="DR16" t="str">
        <f t="shared" ca="1" si="68"/>
        <v xml:space="preserve"> 3</v>
      </c>
      <c r="DS16" t="str">
        <f t="shared" ca="1" si="69"/>
        <v>-2</v>
      </c>
      <c r="DT16" t="str">
        <f t="shared" ca="1" si="70"/>
        <v xml:space="preserve"> 4</v>
      </c>
      <c r="DU16" t="str">
        <f t="shared" ca="1" si="71"/>
        <v>-1</v>
      </c>
      <c r="DW16" s="123">
        <f xml:space="preserve"> SUM( DX$4:DX16, -DX16 )</f>
        <v>0</v>
      </c>
      <c r="DX16" s="121">
        <v>0</v>
      </c>
      <c r="DY16" s="123">
        <f xml:space="preserve"> SUM( DZ$4:DZ16, -DZ16 )</f>
        <v>0</v>
      </c>
      <c r="DZ16" s="121">
        <v>0</v>
      </c>
      <c r="EA16" s="123">
        <f xml:space="preserve"> SUM( EB$4:EB16, -EB16 )</f>
        <v>0</v>
      </c>
      <c r="EB16" s="121">
        <v>0</v>
      </c>
      <c r="EC16" s="123">
        <f xml:space="preserve"> SUM( ED$4:ED16, -ED16 )</f>
        <v>0</v>
      </c>
      <c r="ED16" s="121">
        <v>0</v>
      </c>
      <c r="EE16" s="123">
        <f xml:space="preserve"> SUM( EF$4:EF16, -EF16 )</f>
        <v>0</v>
      </c>
      <c r="EF16" s="121">
        <v>0</v>
      </c>
      <c r="EG16" s="123">
        <f xml:space="preserve"> SUM( EH$4:EH16, -EH16 )</f>
        <v>0</v>
      </c>
      <c r="EH16" s="121">
        <v>0</v>
      </c>
      <c r="EI16" s="123">
        <f xml:space="preserve"> SUM( EJ$4:EJ16, -EJ16 )</f>
        <v>0</v>
      </c>
      <c r="EJ16" s="121">
        <v>0</v>
      </c>
      <c r="EK16" s="123">
        <f xml:space="preserve"> SUM( EL$4:EL16, -EL16 )</f>
        <v>0</v>
      </c>
      <c r="EL16" s="121">
        <f xml:space="preserve"> $K16</f>
        <v>0</v>
      </c>
      <c r="EM16" s="123">
        <f xml:space="preserve"> SUM( EN$4:EN16, -EN16 )</f>
        <v>0</v>
      </c>
      <c r="EN16" s="121">
        <v>0</v>
      </c>
      <c r="EO16" s="123">
        <f xml:space="preserve"> SUM( EP$4:EP16, -EP16 )</f>
        <v>0</v>
      </c>
      <c r="EP16" s="121">
        <v>0</v>
      </c>
      <c r="EQ16" s="123">
        <f xml:space="preserve"> SUM( ER$4:ER16, -ER16 )</f>
        <v>0</v>
      </c>
      <c r="ER16" s="121">
        <v>0</v>
      </c>
      <c r="ES16" s="123">
        <f xml:space="preserve"> SUM( ET$4:ET16, -ET16 )</f>
        <v>0</v>
      </c>
      <c r="ET16" s="121">
        <v>0</v>
      </c>
      <c r="EU16" s="123">
        <f xml:space="preserve"> SUM( EV$4:EV16, -EV16 )</f>
        <v>0</v>
      </c>
      <c r="EV16" s="121">
        <v>0</v>
      </c>
      <c r="EW16" s="123">
        <f xml:space="preserve"> SUM( EX$4:EX16, -EX16 )</f>
        <v>0</v>
      </c>
      <c r="EX16" s="121">
        <v>0</v>
      </c>
      <c r="EZ16" t="str">
        <f t="shared" si="15"/>
        <v>Flotation</v>
      </c>
      <c r="FB16" s="237">
        <f xml:space="preserve"> SUM( FC$4:FC16, -FC16 )</f>
        <v>1</v>
      </c>
      <c r="FC16" s="237">
        <v>0</v>
      </c>
      <c r="FD16" s="237">
        <f xml:space="preserve"> SUM( FE$4:FE16, -FE16 )</f>
        <v>1</v>
      </c>
      <c r="FE16" s="237">
        <v>0</v>
      </c>
      <c r="FF16" t="str">
        <f t="shared" si="16"/>
        <v>Flotation</v>
      </c>
    </row>
    <row r="17" spans="1:162">
      <c r="A17" t="s">
        <v>974</v>
      </c>
      <c r="B17" s="8" t="str">
        <f t="shared" si="60"/>
        <v>Std</v>
      </c>
      <c r="C17" s="15" t="str">
        <f xml:space="preserve"> IF( G17&gt;0, "Installed", "Not installed" )</f>
        <v>Installed</v>
      </c>
      <c r="D17" s="15"/>
      <c r="E17" s="66"/>
      <c r="F17" s="66"/>
      <c r="G17" s="105">
        <f xml:space="preserve"> 1 * (TL&gt;=8)</f>
        <v>1</v>
      </c>
      <c r="H17" s="57">
        <v>0</v>
      </c>
      <c r="I17" s="4"/>
      <c r="J17" s="48"/>
      <c r="K17" s="51"/>
      <c r="L17" s="51">
        <f xml:space="preserve"> G17 * 0.5 * (Hull/100) * BI17 * ( 1 + 0.1*($S17=TL+1) )</f>
        <v>0.5</v>
      </c>
      <c r="M17" s="48"/>
      <c r="N17" s="48"/>
      <c r="O17" s="48"/>
      <c r="S17" s="223">
        <f t="shared" si="49"/>
        <v>12</v>
      </c>
      <c r="T17" t="str">
        <f ca="1" xml:space="preserve"> IF( L17&gt;0, CONCATENATE( DQ17, DR17, DS17, DT17, DU17 ), "" )</f>
        <v>5 3 2-2-4</v>
      </c>
      <c r="Z17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</v>
      </c>
      <c r="AA17" s="160" t="str">
        <f t="shared" si="72"/>
        <v xml:space="preserve">
Lifters Installed                                               0,5      </v>
      </c>
      <c r="AB17" s="161" t="str">
        <f xml:space="preserve"> CONCATENATE( A17 &amp; " " &amp; C17 )</f>
        <v>Lifters Installed</v>
      </c>
      <c r="AC17" s="160" t="str">
        <f t="shared" si="1"/>
        <v xml:space="preserve">              </v>
      </c>
      <c r="AD17" s="160" t="str">
        <f t="shared" si="2"/>
        <v xml:space="preserve">            </v>
      </c>
      <c r="AE17" s="162" t="str">
        <f t="shared" si="63"/>
        <v/>
      </c>
      <c r="AF17" s="160" t="str">
        <f t="shared" si="3"/>
        <v xml:space="preserve">            </v>
      </c>
      <c r="AG17" s="161" t="str">
        <f t="shared" si="64"/>
        <v/>
      </c>
      <c r="AH17" s="160" t="str">
        <f t="shared" si="53"/>
        <v xml:space="preserve">         </v>
      </c>
      <c r="AI17" s="163" t="str">
        <f t="shared" si="65"/>
        <v>0,5</v>
      </c>
      <c r="AJ17" s="160" t="str">
        <f t="shared" si="5"/>
        <v xml:space="preserve">      </v>
      </c>
      <c r="AK17" s="163" t="str">
        <f t="shared" si="14"/>
        <v/>
      </c>
      <c r="AL17" s="163"/>
      <c r="AM17" s="153"/>
      <c r="AN17" s="153"/>
      <c r="AO17" s="153">
        <f xml:space="preserve"> G17 * (L17&gt;0)</f>
        <v>1</v>
      </c>
      <c r="AP17" s="153"/>
      <c r="BB17" s="103">
        <v>8</v>
      </c>
      <c r="BC17" s="98">
        <f t="shared" si="67"/>
        <v>0</v>
      </c>
      <c r="BD17" t="s">
        <v>378</v>
      </c>
      <c r="BE17" s="8" t="str">
        <f>VLOOKUP( $BC17, Tables!$A$184:$H$193,  2 )</f>
        <v>Standard</v>
      </c>
      <c r="BF17" s="8" t="str">
        <f>VLOOKUP( $BC17, Tables!$A$184:$H$193,  3 )</f>
        <v>Std</v>
      </c>
      <c r="BG17" s="90">
        <f>VLOOKUP( $BC17, Tables!$A$184:$H$193, 4 )</f>
        <v>0</v>
      </c>
      <c r="BH17" s="8">
        <f>VLOOKUP( $BC17, Tables!$A$184:$H$193,  5 )</f>
        <v>1</v>
      </c>
      <c r="BI17" s="8">
        <f>VLOOKUP( $BC17, Tables!$A$184:$H$193, 6 )</f>
        <v>1</v>
      </c>
      <c r="DL17">
        <f ca="1" xml:space="preserve"> IF( $BF17=Tables!$C$189, 5, RANDBETWEEN(1,6)+RANDBETWEEN(1,6)-2 )</f>
        <v>5</v>
      </c>
      <c r="DM17">
        <f ca="1" xml:space="preserve"> IF( $BF17=Tables!$C$189, 0, RANDBETWEEN(1,6)-RANDBETWEEN(1,6)+ VLOOKUP( $BC17, Tables!$A$184:$Q$193,  14 ) )</f>
        <v>3</v>
      </c>
      <c r="DN17">
        <f ca="1" xml:space="preserve"> IF( $BF17=Tables!$C$189, 0, RANDBETWEEN(1,6)-RANDBETWEEN(1,6)+ VLOOKUP( $BC17, Tables!$A$184:$Q$193,  15 ) )</f>
        <v>2</v>
      </c>
      <c r="DO17">
        <f ca="1" xml:space="preserve"> IF( $BF17=Tables!$C$189, 0, RANDBETWEEN(1,6)-RANDBETWEEN(1,6)+ VLOOKUP( $BC17, Tables!$A$184:$Q$193,  16 ) )</f>
        <v>-2</v>
      </c>
      <c r="DP17">
        <f ca="1" xml:space="preserve"> IF( $BF17=Tables!$C$189, 0, RANDBETWEEN(1,6)-RANDBETWEEN(1,6)+ VLOOKUP( $BC17, Tables!$A$184:$Q$193,  17 ) )</f>
        <v>-4</v>
      </c>
      <c r="DQ17" s="44" t="str">
        <f ca="1" xml:space="preserve"> VLOOKUP( $DL17,Tables!$B$2:$C$36,2)</f>
        <v>5</v>
      </c>
      <c r="DR17" t="str">
        <f t="shared" ca="1" si="68"/>
        <v xml:space="preserve"> 3</v>
      </c>
      <c r="DS17" t="str">
        <f t="shared" ca="1" si="69"/>
        <v xml:space="preserve"> 2</v>
      </c>
      <c r="DT17" t="str">
        <f t="shared" ca="1" si="70"/>
        <v>-2</v>
      </c>
      <c r="DU17" t="str">
        <f t="shared" ca="1" si="71"/>
        <v>-4</v>
      </c>
      <c r="DW17" s="123">
        <f xml:space="preserve"> SUM( DX$4:DX17, -DX17 )</f>
        <v>0</v>
      </c>
      <c r="DX17" s="121">
        <v>0</v>
      </c>
      <c r="DY17" s="123">
        <f xml:space="preserve"> SUM( DZ$4:DZ17, -DZ17 )</f>
        <v>0</v>
      </c>
      <c r="DZ17" s="121">
        <v>0</v>
      </c>
      <c r="EA17" s="123">
        <f xml:space="preserve"> SUM( EB$4:EB17, -EB17 )</f>
        <v>0</v>
      </c>
      <c r="EB17" s="121">
        <v>0</v>
      </c>
      <c r="EC17" s="123">
        <f xml:space="preserve"> SUM( ED$4:ED17, -ED17 )</f>
        <v>0</v>
      </c>
      <c r="ED17" s="121">
        <v>0</v>
      </c>
      <c r="EE17" s="123">
        <f xml:space="preserve"> SUM( EF$4:EF17, -EF17 )</f>
        <v>0</v>
      </c>
      <c r="EF17" s="121">
        <v>0</v>
      </c>
      <c r="EG17" s="123">
        <f xml:space="preserve"> SUM( EH$4:EH17, -EH17 )</f>
        <v>0</v>
      </c>
      <c r="EH17" s="121">
        <v>0</v>
      </c>
      <c r="EI17" s="123">
        <f xml:space="preserve"> SUM( EJ$4:EJ17, -EJ17 )</f>
        <v>0</v>
      </c>
      <c r="EJ17" s="121">
        <v>0</v>
      </c>
      <c r="EK17" s="123">
        <f xml:space="preserve"> SUM( EL$4:EL17, -EL17 )</f>
        <v>0</v>
      </c>
      <c r="EL17" s="194">
        <f t="shared" ref="EL17:EL27" si="73" xml:space="preserve"> $K17</f>
        <v>0</v>
      </c>
      <c r="EM17" s="123">
        <f xml:space="preserve"> SUM( EN$4:EN17, -EN17 )</f>
        <v>0</v>
      </c>
      <c r="EN17" s="121">
        <v>0</v>
      </c>
      <c r="EO17" s="123">
        <f xml:space="preserve"> SUM( EP$4:EP17, -EP17 )</f>
        <v>0</v>
      </c>
      <c r="EP17" s="121">
        <v>0</v>
      </c>
      <c r="EQ17" s="123">
        <f xml:space="preserve"> SUM( ER$4:ER17, -ER17 )</f>
        <v>0</v>
      </c>
      <c r="ER17" s="121">
        <v>0</v>
      </c>
      <c r="ES17" s="123">
        <f xml:space="preserve"> SUM( ET$4:ET17, -ET17 )</f>
        <v>0</v>
      </c>
      <c r="ET17" s="121">
        <v>0</v>
      </c>
      <c r="EU17" s="123">
        <f xml:space="preserve"> SUM( EV$4:EV17, -EV17 )</f>
        <v>0</v>
      </c>
      <c r="EV17" s="121">
        <v>0</v>
      </c>
      <c r="EW17" s="123">
        <f xml:space="preserve"> SUM( EX$4:EX17, -EX17 )</f>
        <v>0</v>
      </c>
      <c r="EX17" s="121">
        <v>0</v>
      </c>
      <c r="EZ17" t="str">
        <f t="shared" si="15"/>
        <v>Lifters</v>
      </c>
      <c r="FB17" s="237">
        <f xml:space="preserve"> SUM( FC$4:FC17, -FC17 )</f>
        <v>1</v>
      </c>
      <c r="FC17" s="237">
        <v>0</v>
      </c>
      <c r="FD17" s="237">
        <f xml:space="preserve"> SUM( FE$4:FE17, -FE17 )</f>
        <v>1</v>
      </c>
      <c r="FE17" s="237">
        <v>0</v>
      </c>
      <c r="FF17" t="str">
        <f t="shared" si="16"/>
        <v>Lifters</v>
      </c>
    </row>
    <row r="18" spans="1:162">
      <c r="A18" s="16" t="s">
        <v>42</v>
      </c>
      <c r="B18" s="8" t="str">
        <f t="shared" si="60"/>
        <v>Std</v>
      </c>
      <c r="C18" s="66" t="str">
        <f xml:space="preserve"> IF( $G18&gt;0,"Can be carried in grapples","Can't be carried in grapples")</f>
        <v>Can't be carried in grapples</v>
      </c>
      <c r="D18" s="66"/>
      <c r="E18" s="66"/>
      <c r="F18" s="66"/>
      <c r="G18" s="20">
        <v>0</v>
      </c>
      <c r="H18" s="57">
        <v>0</v>
      </c>
      <c r="I18" s="4"/>
      <c r="J18" s="48">
        <f>1*(G18&gt;0) * AQ18</f>
        <v>0</v>
      </c>
      <c r="K18" s="80">
        <f xml:space="preserve"> J18 * VLOOKUP( $A18, Tables!$A$501:$J$507, 6, 0 )</f>
        <v>0</v>
      </c>
      <c r="L18" s="80">
        <f xml:space="preserve"> J18 * VLOOKUP( $A18, Tables!$A$501:$J$507, 7, 0 ) * BI18 * ( 1 + 0.1*($S18=TL+1) )</f>
        <v>0</v>
      </c>
      <c r="M18" s="48"/>
      <c r="N18" s="48"/>
      <c r="O18" s="48"/>
      <c r="S18" s="223">
        <f t="shared" si="49"/>
        <v>12</v>
      </c>
      <c r="T18" t="str">
        <f xml:space="preserve"> IF( K18&gt;0, CONCATENATE( DQ18, DR18, DS18, DT18, DU18 ), "" )</f>
        <v/>
      </c>
      <c r="Z18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</v>
      </c>
      <c r="AA18" s="160" t="str">
        <f xml:space="preserve"> IF( OR(J18&lt;&gt;0,K18&lt;&gt;0,L18&lt;&gt;0), CONCATENATE( newline &amp; AB18 &amp; AC18 &amp; AD18 &amp; AE18 &amp; AF18 &amp; AG18 &amp; AH18 &amp; AI18 &amp; AJ18 &amp; AK18 ), "" )</f>
        <v/>
      </c>
      <c r="AB18" s="161" t="str">
        <f t="shared" ref="AB18:AB45" si="74" xml:space="preserve"> CONCATENATE( A18 )</f>
        <v>Grapple</v>
      </c>
      <c r="AC18" s="160" t="str">
        <f t="shared" si="1"/>
        <v xml:space="preserve">                        </v>
      </c>
      <c r="AD18" s="160" t="str">
        <f t="shared" si="2"/>
        <v xml:space="preserve">           </v>
      </c>
      <c r="AE18" s="162" t="str">
        <f t="shared" si="63"/>
        <v>0</v>
      </c>
      <c r="AF18" s="160" t="str">
        <f t="shared" si="3"/>
        <v xml:space="preserve">           </v>
      </c>
      <c r="AG18" s="161" t="str">
        <f t="shared" si="64"/>
        <v>0</v>
      </c>
      <c r="AH18" s="160" t="str">
        <f t="shared" si="53"/>
        <v xml:space="preserve">           </v>
      </c>
      <c r="AI18" s="163" t="str">
        <f t="shared" si="65"/>
        <v>0</v>
      </c>
      <c r="AJ18" s="160" t="str">
        <f t="shared" si="5"/>
        <v xml:space="preserve">      </v>
      </c>
      <c r="AK18" s="163" t="str">
        <f t="shared" si="14"/>
        <v/>
      </c>
      <c r="AL18" s="163"/>
      <c r="AM18" s="153"/>
      <c r="AN18" s="153"/>
      <c r="AO18" s="153">
        <f xml:space="preserve"> G18 * ROUNDUP(K18/35,0) * (L18&gt;0)</f>
        <v>0</v>
      </c>
      <c r="AP18" s="153"/>
      <c r="AQ18">
        <f xml:space="preserve"> IF( DriveCapacity&lt;100, ROUNDUP( DriveCapacity/35, 0 ), ROUNDUP( 3*DriveCapacity/100, 0 ) )</f>
        <v>3</v>
      </c>
      <c r="BB18" s="103">
        <v>9</v>
      </c>
      <c r="BC18" s="98">
        <f xml:space="preserve"> MIN( $H18, $S18 - BB18)</f>
        <v>0</v>
      </c>
      <c r="BD18" t="s">
        <v>378</v>
      </c>
      <c r="BE18" s="8" t="str">
        <f>VLOOKUP( $BC18, Tables!$A$184:$H$193,  2 )</f>
        <v>Standard</v>
      </c>
      <c r="BF18" s="8" t="str">
        <f>VLOOKUP( $BC18, Tables!$A$184:$H$193,  3 )</f>
        <v>Std</v>
      </c>
      <c r="BG18" s="90">
        <f>VLOOKUP( $BC18, Tables!$A$184:$H$193, 4 )</f>
        <v>0</v>
      </c>
      <c r="BH18" s="8">
        <f>VLOOKUP( $BC18, Tables!$A$184:$H$193,  5 )</f>
        <v>1</v>
      </c>
      <c r="BI18" s="8">
        <f>VLOOKUP( $BC18, Tables!$A$184:$H$193, 6 )</f>
        <v>1</v>
      </c>
      <c r="DL18">
        <f ca="1" xml:space="preserve"> IF( $BF18=Tables!$C$189, 5, RANDBETWEEN(1,6)+RANDBETWEEN(1,6)-2 )</f>
        <v>4</v>
      </c>
      <c r="DM18">
        <f ca="1" xml:space="preserve"> IF( $BF18=Tables!$C$189, 0, RANDBETWEEN(1,6)-RANDBETWEEN(1,6)+ VLOOKUP( $BC18, Tables!$A$184:$Q$193,  14 ) )</f>
        <v>2</v>
      </c>
      <c r="DN18">
        <f ca="1" xml:space="preserve"> IF( $BF18=Tables!$C$189, 0, RANDBETWEEN(1,6)-RANDBETWEEN(1,6)+ VLOOKUP( $BC18, Tables!$A$184:$Q$193,  15 ) )</f>
        <v>0</v>
      </c>
      <c r="DO18">
        <f ca="1" xml:space="preserve"> IF( $BF18=Tables!$C$189, 0, RANDBETWEEN(1,6)-RANDBETWEEN(1,6)+ VLOOKUP( $BC18, Tables!$A$184:$Q$193,  16 ) )</f>
        <v>3</v>
      </c>
      <c r="DP18">
        <f ca="1" xml:space="preserve"> IF( $BF18=Tables!$C$189, 0, RANDBETWEEN(1,6)-RANDBETWEEN(1,6)+ VLOOKUP( $BC18, Tables!$A$184:$Q$193,  17 ) )</f>
        <v>-2</v>
      </c>
      <c r="DQ18" s="44" t="str">
        <f ca="1" xml:space="preserve"> VLOOKUP( $DL18,Tables!$B$2:$C$36,2)</f>
        <v>4</v>
      </c>
      <c r="DR18" t="str">
        <f t="shared" ca="1" si="68"/>
        <v xml:space="preserve"> 2</v>
      </c>
      <c r="DS18" t="str">
        <f t="shared" ca="1" si="69"/>
        <v xml:space="preserve"> 0</v>
      </c>
      <c r="DT18" t="str">
        <f t="shared" ca="1" si="70"/>
        <v xml:space="preserve"> 3</v>
      </c>
      <c r="DU18" t="str">
        <f t="shared" ca="1" si="71"/>
        <v>-2</v>
      </c>
      <c r="DW18" s="123">
        <f xml:space="preserve"> SUM( DX$4:DX18, -DX18 )</f>
        <v>0</v>
      </c>
      <c r="DX18" s="121">
        <v>0</v>
      </c>
      <c r="DY18" s="123">
        <f xml:space="preserve"> SUM( DZ$4:DZ18, -DZ18 )</f>
        <v>0</v>
      </c>
      <c r="DZ18" s="121">
        <v>0</v>
      </c>
      <c r="EA18" s="123">
        <f xml:space="preserve"> SUM( EB$4:EB18, -EB18 )</f>
        <v>0</v>
      </c>
      <c r="EB18" s="121">
        <v>0</v>
      </c>
      <c r="EC18" s="123">
        <f xml:space="preserve"> SUM( ED$4:ED18, -ED18 )</f>
        <v>0</v>
      </c>
      <c r="ED18" s="121">
        <v>0</v>
      </c>
      <c r="EE18" s="123">
        <f xml:space="preserve"> SUM( EF$4:EF18, -EF18 )</f>
        <v>0</v>
      </c>
      <c r="EF18" s="121">
        <v>0</v>
      </c>
      <c r="EG18" s="123">
        <f xml:space="preserve"> SUM( EH$4:EH18, -EH18 )</f>
        <v>0</v>
      </c>
      <c r="EH18" s="121">
        <v>0</v>
      </c>
      <c r="EI18" s="123">
        <f xml:space="preserve"> SUM( EJ$4:EJ18, -EJ18 )</f>
        <v>0</v>
      </c>
      <c r="EJ18" s="121">
        <v>0</v>
      </c>
      <c r="EK18" s="123">
        <f xml:space="preserve"> SUM( EL$4:EL18, -EL18 )</f>
        <v>0</v>
      </c>
      <c r="EL18" s="194">
        <f t="shared" si="73"/>
        <v>0</v>
      </c>
      <c r="EM18" s="123">
        <f xml:space="preserve"> SUM( EN$4:EN18, -EN18 )</f>
        <v>0</v>
      </c>
      <c r="EN18" s="121">
        <v>0</v>
      </c>
      <c r="EO18" s="123">
        <f xml:space="preserve"> SUM( EP$4:EP18, -EP18 )</f>
        <v>0</v>
      </c>
      <c r="EP18" s="121">
        <v>0</v>
      </c>
      <c r="EQ18" s="123">
        <f xml:space="preserve"> SUM( ER$4:ER18, -ER18 )</f>
        <v>0</v>
      </c>
      <c r="ER18" s="121">
        <v>0</v>
      </c>
      <c r="ES18" s="123">
        <f xml:space="preserve"> SUM( ET$4:ET18, -ET18 )</f>
        <v>0</v>
      </c>
      <c r="ET18" s="121">
        <v>0</v>
      </c>
      <c r="EU18" s="123">
        <f xml:space="preserve"> SUM( EV$4:EV18, -EV18 )</f>
        <v>0</v>
      </c>
      <c r="EV18" s="121">
        <v>0</v>
      </c>
      <c r="EW18" s="123">
        <f xml:space="preserve"> SUM( EX$4:EX18, -EX18 )</f>
        <v>0</v>
      </c>
      <c r="EX18" s="121">
        <v>0</v>
      </c>
      <c r="EZ18" t="str">
        <f t="shared" si="15"/>
        <v>Grapple</v>
      </c>
      <c r="FB18" s="237">
        <f xml:space="preserve"> SUM( FC$4:FC18, -FC18 )</f>
        <v>1</v>
      </c>
      <c r="FC18" s="237">
        <v>0</v>
      </c>
      <c r="FD18" s="237">
        <f xml:space="preserve"> SUM( FE$4:FE18, -FE18 )</f>
        <v>1</v>
      </c>
      <c r="FE18" s="237">
        <v>0</v>
      </c>
      <c r="FF18" t="str">
        <f t="shared" si="16"/>
        <v>Grapple</v>
      </c>
    </row>
    <row r="19" spans="1:162">
      <c r="C19" s="66"/>
      <c r="D19" s="66"/>
      <c r="E19" s="66"/>
      <c r="F19" s="66"/>
      <c r="G19" s="48"/>
      <c r="H19" s="86"/>
      <c r="I19" s="4"/>
      <c r="J19" s="48"/>
      <c r="K19" s="123"/>
      <c r="L19" s="123"/>
      <c r="M19" s="48"/>
      <c r="N19" s="48"/>
      <c r="O19" s="48"/>
      <c r="S19" s="223"/>
      <c r="Z19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19" s="160" t="str">
        <f t="shared" ref="AA19" si="75" xml:space="preserve"> IF( OR(TRUE), CONCATENATE( newline &amp; AB19 &amp; AC19 &amp; AD19 &amp; AE19 &amp; AF19 &amp; AG19 &amp; AH19 &amp; AI19 &amp; AJ19 &amp; AK19 ), "" )</f>
        <v xml:space="preserve">
                                                                         </v>
      </c>
      <c r="AB19" s="161" t="str">
        <f t="shared" ref="AB19" si="76" xml:space="preserve"> CONCATENATE( A19 )</f>
        <v/>
      </c>
      <c r="AC19" s="160" t="str">
        <f t="shared" si="1"/>
        <v xml:space="preserve">                               </v>
      </c>
      <c r="AD19" s="160" t="str">
        <f t="shared" ref="AD19" si="77" xml:space="preserve"> CONCATENATE( REPT(" ",MAX(0,12-LEN(AE19))) )</f>
        <v xml:space="preserve">            </v>
      </c>
      <c r="AE19" s="162" t="str">
        <f t="shared" ref="AE19" si="78" xml:space="preserve"> CONCATENATE( J19 )</f>
        <v/>
      </c>
      <c r="AF19" s="160" t="str">
        <f t="shared" ref="AF19" si="79" xml:space="preserve"> CONCATENATE( REPT(" ",MAX(0,12-LEN(AG19))) )</f>
        <v xml:space="preserve">            </v>
      </c>
      <c r="AG19" s="161" t="str">
        <f t="shared" ref="AG19" si="80" xml:space="preserve"> CONCATENATE( K19 )</f>
        <v/>
      </c>
      <c r="AH19" s="160" t="str">
        <f t="shared" ref="AH19" si="81" xml:space="preserve"> CONCATENATE( REPT(" ",MAX(0,12-LEN(AI19))) )</f>
        <v xml:space="preserve">            </v>
      </c>
      <c r="AI19" s="163" t="str">
        <f t="shared" ref="AI19" si="82" xml:space="preserve"> CONCATENATE( L19 )</f>
        <v/>
      </c>
      <c r="AJ19" s="160" t="str">
        <f t="shared" si="5"/>
        <v xml:space="preserve">      </v>
      </c>
      <c r="AK19" s="163" t="str">
        <f t="shared" si="14"/>
        <v/>
      </c>
      <c r="AL19" s="163"/>
      <c r="AM19" s="153"/>
      <c r="AN19" s="153"/>
      <c r="AO19" s="153"/>
      <c r="AP19" s="153"/>
      <c r="BQ19">
        <f xml:space="preserve"> IFERROR( ROUNDDOWN( LOG( BQ8, 10 ), 0 ), 0 )</f>
        <v>1</v>
      </c>
      <c r="DL19"/>
      <c r="DQ19" s="44"/>
      <c r="DW19" s="123">
        <f xml:space="preserve"> SUM( DX$4:DX19, -DX19 )</f>
        <v>0</v>
      </c>
      <c r="DX19" s="123">
        <v>0</v>
      </c>
      <c r="DY19" s="123">
        <f xml:space="preserve"> SUM( DZ$4:DZ19, -DZ19 )</f>
        <v>0</v>
      </c>
      <c r="DZ19" s="123">
        <v>0</v>
      </c>
      <c r="EA19" s="123">
        <f xml:space="preserve"> SUM( EB$4:EB19, -EB19 )</f>
        <v>0</v>
      </c>
      <c r="EB19" s="123">
        <v>0</v>
      </c>
      <c r="EC19" s="123">
        <f xml:space="preserve"> SUM( ED$4:ED19, -ED19 )</f>
        <v>0</v>
      </c>
      <c r="ED19" s="123">
        <v>0</v>
      </c>
      <c r="EE19" s="123">
        <f xml:space="preserve"> SUM( EF$4:EF19, -EF19 )</f>
        <v>0</v>
      </c>
      <c r="EF19" s="123">
        <v>0</v>
      </c>
      <c r="EG19" s="123">
        <f xml:space="preserve"> SUM( EH$4:EH19, -EH19 )</f>
        <v>0</v>
      </c>
      <c r="EH19" s="123">
        <v>0</v>
      </c>
      <c r="EI19" s="123">
        <f xml:space="preserve"> SUM( EJ$4:EJ19, -EJ19 )</f>
        <v>0</v>
      </c>
      <c r="EJ19" s="123">
        <v>0</v>
      </c>
      <c r="EK19" s="123">
        <f xml:space="preserve"> SUM( EL$4:EL19, -EL19 )</f>
        <v>0</v>
      </c>
      <c r="EL19" s="194">
        <f t="shared" si="73"/>
        <v>0</v>
      </c>
      <c r="EM19" s="123">
        <f xml:space="preserve"> SUM( EN$4:EN19, -EN19 )</f>
        <v>0</v>
      </c>
      <c r="EN19" s="123">
        <v>0</v>
      </c>
      <c r="EO19" s="123">
        <f xml:space="preserve"> SUM( EP$4:EP19, -EP19 )</f>
        <v>0</v>
      </c>
      <c r="EP19" s="123">
        <v>0</v>
      </c>
      <c r="EQ19" s="123">
        <f xml:space="preserve"> SUM( ER$4:ER19, -ER19 )</f>
        <v>0</v>
      </c>
      <c r="ER19" s="123">
        <v>0</v>
      </c>
      <c r="ES19" s="123">
        <f xml:space="preserve"> SUM( ET$4:ET19, -ET19 )</f>
        <v>0</v>
      </c>
      <c r="ET19" s="123">
        <v>0</v>
      </c>
      <c r="EU19" s="123">
        <f xml:space="preserve"> SUM( EV$4:EV19, -EV19 )</f>
        <v>0</v>
      </c>
      <c r="EV19" s="123">
        <v>0</v>
      </c>
      <c r="EW19" s="123">
        <f xml:space="preserve"> SUM( EX$4:EX19, -EX19 )</f>
        <v>0</v>
      </c>
      <c r="EX19" s="123">
        <v>0</v>
      </c>
      <c r="EZ19">
        <f t="shared" ref="EZ19" si="83">A19</f>
        <v>0</v>
      </c>
      <c r="FB19" s="237">
        <f xml:space="preserve"> SUM( FC$4:FC19, -FC19 )</f>
        <v>1</v>
      </c>
      <c r="FC19" s="237">
        <v>0</v>
      </c>
      <c r="FD19" s="237">
        <f xml:space="preserve"> SUM( FE$4:FE19, -FE19 )</f>
        <v>1</v>
      </c>
      <c r="FE19" s="237">
        <v>0</v>
      </c>
      <c r="FF19">
        <f t="shared" si="16"/>
        <v>0</v>
      </c>
    </row>
    <row r="20" spans="1:162">
      <c r="A20" s="54" t="s">
        <v>848</v>
      </c>
      <c r="C20" s="54" t="s">
        <v>1048</v>
      </c>
      <c r="D20" s="1" t="s">
        <v>69</v>
      </c>
      <c r="E20" s="1"/>
      <c r="F20" s="1"/>
      <c r="G20" s="1" t="s">
        <v>1114</v>
      </c>
      <c r="H20" s="28"/>
      <c r="I20" s="4"/>
      <c r="J20" s="21"/>
      <c r="K20" s="51"/>
      <c r="L20" s="51"/>
      <c r="M20" s="21"/>
      <c r="N20" s="48"/>
      <c r="O20" s="21"/>
      <c r="S20" s="223"/>
      <c r="Z20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20" s="160" t="str">
        <f xml:space="preserve"> IF( SUM(K20:L23)&gt;0, CONCATENATE( newline &amp; AB20 &amp; AC20 &amp; AD20 &amp; AE20 &amp; AF20 &amp; AG20 &amp; AH20 &amp; AI20 &amp; AJ20 &amp; AK20 ), "" )</f>
        <v/>
      </c>
      <c r="AB20" s="161" t="str">
        <f t="shared" si="74"/>
        <v>Pods &amp; Subhulls</v>
      </c>
      <c r="AC20" s="160" t="str">
        <f t="shared" si="1"/>
        <v xml:space="preserve">                </v>
      </c>
      <c r="AD20" s="160" t="str">
        <f t="shared" si="2"/>
        <v xml:space="preserve">            </v>
      </c>
      <c r="AE20" s="162" t="str">
        <f t="shared" si="63"/>
        <v/>
      </c>
      <c r="AF20" s="160" t="str">
        <f t="shared" si="3"/>
        <v xml:space="preserve">            </v>
      </c>
      <c r="AG20" s="161" t="str">
        <f t="shared" si="64"/>
        <v/>
      </c>
      <c r="AH20" s="160" t="str">
        <f t="shared" si="53"/>
        <v xml:space="preserve">            </v>
      </c>
      <c r="AI20" s="163" t="str">
        <f t="shared" si="65"/>
        <v/>
      </c>
      <c r="AJ20" s="160" t="str">
        <f t="shared" si="5"/>
        <v xml:space="preserve">      </v>
      </c>
      <c r="AK20" s="163" t="str">
        <f t="shared" si="14"/>
        <v/>
      </c>
      <c r="AL20" s="163"/>
      <c r="AM20" s="153"/>
      <c r="AN20" s="153"/>
      <c r="AO20" s="153"/>
      <c r="AP20" s="153"/>
      <c r="BQ20">
        <f t="shared" ref="BQ20:BQ23" si="84" xml:space="preserve"> IFERROR( ROUNDDOWN( LOG( BQ9, 10 ), 0 ), 0 )</f>
        <v>0</v>
      </c>
      <c r="DL20"/>
      <c r="DQ20" s="44"/>
      <c r="DW20" s="123">
        <f xml:space="preserve"> SUM( DX$4:DX20, -DX20 )</f>
        <v>0</v>
      </c>
      <c r="DX20" s="121">
        <v>0</v>
      </c>
      <c r="DY20" s="123">
        <f xml:space="preserve"> SUM( DZ$4:DZ20, -DZ20 )</f>
        <v>0</v>
      </c>
      <c r="DZ20" s="121">
        <v>0</v>
      </c>
      <c r="EA20" s="123">
        <f xml:space="preserve"> SUM( EB$4:EB20, -EB20 )</f>
        <v>0</v>
      </c>
      <c r="EB20" s="121">
        <v>0</v>
      </c>
      <c r="EC20" s="123">
        <f xml:space="preserve"> SUM( ED$4:ED20, -ED20 )</f>
        <v>0</v>
      </c>
      <c r="ED20" s="121">
        <v>0</v>
      </c>
      <c r="EE20" s="123">
        <f xml:space="preserve"> SUM( EF$4:EF20, -EF20 )</f>
        <v>0</v>
      </c>
      <c r="EF20" s="121">
        <v>0</v>
      </c>
      <c r="EG20" s="123">
        <f xml:space="preserve"> SUM( EH$4:EH20, -EH20 )</f>
        <v>0</v>
      </c>
      <c r="EH20" s="121">
        <v>0</v>
      </c>
      <c r="EI20" s="123">
        <f xml:space="preserve"> SUM( EJ$4:EJ20, -EJ20 )</f>
        <v>0</v>
      </c>
      <c r="EJ20" s="121">
        <v>0</v>
      </c>
      <c r="EK20" s="123">
        <f xml:space="preserve"> SUM( EL$4:EL20, -EL20 )</f>
        <v>0</v>
      </c>
      <c r="EL20" s="194">
        <f t="shared" si="73"/>
        <v>0</v>
      </c>
      <c r="EM20" s="123">
        <f xml:space="preserve"> SUM( EN$4:EN20, -EN20 )</f>
        <v>0</v>
      </c>
      <c r="EN20" s="121">
        <v>0</v>
      </c>
      <c r="EO20" s="123">
        <f xml:space="preserve"> SUM( EP$4:EP20, -EP20 )</f>
        <v>0</v>
      </c>
      <c r="EP20" s="121">
        <v>0</v>
      </c>
      <c r="EQ20" s="123">
        <f xml:space="preserve"> SUM( ER$4:ER20, -ER20 )</f>
        <v>0</v>
      </c>
      <c r="ER20" s="121">
        <v>0</v>
      </c>
      <c r="ES20" s="123">
        <f xml:space="preserve"> SUM( ET$4:ET20, -ET20 )</f>
        <v>0</v>
      </c>
      <c r="ET20" s="121">
        <v>0</v>
      </c>
      <c r="EU20" s="123">
        <f xml:space="preserve"> SUM( EV$4:EV20, -EV20 )</f>
        <v>0</v>
      </c>
      <c r="EV20" s="121">
        <v>0</v>
      </c>
      <c r="EW20" s="123">
        <f xml:space="preserve"> SUM( EX$4:EX20, -EX20 )</f>
        <v>0</v>
      </c>
      <c r="EX20" s="121">
        <v>0</v>
      </c>
      <c r="EZ20" t="str">
        <f t="shared" si="15"/>
        <v>Pods &amp; Subhulls</v>
      </c>
      <c r="FB20" s="237">
        <f xml:space="preserve"> SUM( FC$4:FC20, -FC20 )</f>
        <v>1</v>
      </c>
      <c r="FC20" s="237">
        <v>0</v>
      </c>
      <c r="FD20" s="237">
        <f xml:space="preserve"> SUM( FE$4:FE20, -FE20 )</f>
        <v>1</v>
      </c>
      <c r="FE20" s="237">
        <v>0</v>
      </c>
      <c r="FF20" t="str">
        <f t="shared" si="16"/>
        <v>Pods &amp; Subhulls</v>
      </c>
    </row>
    <row r="21" spans="1:162">
      <c r="A21" s="16" t="str">
        <f xml:space="preserve"> IF( D21&gt;10, BL21, BK21 )</f>
        <v>Bracket</v>
      </c>
      <c r="C21" s="16" t="s">
        <v>693</v>
      </c>
      <c r="D21" s="32">
        <f xml:space="preserve"> BH21</f>
        <v>0</v>
      </c>
      <c r="E21" s="143">
        <f xml:space="preserve"> IF( D21&gt;0, D21, BH21 )</f>
        <v>0</v>
      </c>
      <c r="F21" s="66"/>
      <c r="G21" s="27">
        <f xml:space="preserve"> IFERROR( Simple!#REF!, 1*(D21&gt;0) )</f>
        <v>0</v>
      </c>
      <c r="H21" s="86"/>
      <c r="I21" s="2"/>
      <c r="J21" s="86">
        <f>G21</f>
        <v>0</v>
      </c>
      <c r="K21" s="123">
        <f xml:space="preserve"> J21 * AR21 * ( AW21 + D21*AX21 )</f>
        <v>0</v>
      </c>
      <c r="L21" s="123">
        <f xml:space="preserve"> J21 * AR21 * AQ21</f>
        <v>0</v>
      </c>
      <c r="O21" s="48">
        <f>J21*(1+1*(D21&gt;10))</f>
        <v>0</v>
      </c>
      <c r="P21" s="86">
        <f>J21 * D21 *  AY21</f>
        <v>0</v>
      </c>
      <c r="Q21" s="142" t="str">
        <f xml:space="preserve"> IF( D21&gt;AV21, "Craft too large for bracket", "" )</f>
        <v/>
      </c>
      <c r="S21" s="223"/>
      <c r="Z21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21" s="160" t="str">
        <f xml:space="preserve"> IF( OR(J21&lt;&gt;0,K21&lt;&gt;0,L21&lt;&gt;0), CONCATENATE( newline &amp; AB21 &amp; AC21 &amp; AD21 &amp; AE21 &amp; AF21 &amp; AG21 &amp; AH21 &amp; AI21 &amp; AJ21 &amp; AK21 ), "" )</f>
        <v/>
      </c>
      <c r="AB21" s="161" t="str">
        <f xml:space="preserve"> CONCATENATE( LEFT(A21,7) &amp;" "&amp; LEFT(C21,15) &amp;" "&amp; D21&amp;" Dt" )</f>
        <v>Bracket  0 Dt</v>
      </c>
      <c r="AC21" s="160" t="str">
        <f t="shared" si="1"/>
        <v xml:space="preserve">                  </v>
      </c>
      <c r="AD21" s="160" t="str">
        <f t="shared" ref="AD21" si="85" xml:space="preserve"> CONCATENATE( REPT(" ",MAX(0,12-LEN(AE21))) )</f>
        <v xml:space="preserve">           </v>
      </c>
      <c r="AE21" s="162" t="str">
        <f t="shared" ref="AE21" si="86" xml:space="preserve"> CONCATENATE( J21 )</f>
        <v>0</v>
      </c>
      <c r="AF21" s="160" t="str">
        <f t="shared" ref="AF21" si="87" xml:space="preserve"> CONCATENATE( REPT(" ",MAX(0,12-LEN(AG21))) )</f>
        <v xml:space="preserve">           </v>
      </c>
      <c r="AG21" s="161" t="str">
        <f t="shared" ref="AG21" si="88" xml:space="preserve"> CONCATENATE( K21 )</f>
        <v>0</v>
      </c>
      <c r="AH21" s="160" t="str">
        <f t="shared" ref="AH21" si="89" xml:space="preserve"> CONCATENATE( REPT(" ",MAX(0,12-LEN(AI21))) )</f>
        <v xml:space="preserve">           </v>
      </c>
      <c r="AI21" s="163" t="str">
        <f t="shared" ref="AI21" si="90" xml:space="preserve"> CONCATENATE( L21 )</f>
        <v>0</v>
      </c>
      <c r="AJ21" s="160" t="str">
        <f t="shared" si="5"/>
        <v xml:space="preserve">      </v>
      </c>
      <c r="AK21" s="163" t="str">
        <f t="shared" si="14"/>
        <v/>
      </c>
      <c r="AL21" s="163"/>
      <c r="AM21" s="153"/>
      <c r="AN21" s="153"/>
      <c r="AO21" s="153">
        <f xml:space="preserve"> G21 * ROUNDUP(IFERROR(K21/G21,0)/35,0) * (L21&gt;0)</f>
        <v>0</v>
      </c>
      <c r="AP21" s="153"/>
      <c r="AQ21">
        <f t="shared" ref="AQ21" si="91" xml:space="preserve"> IF( Config&lt;5, AZ21, BA21 )</f>
        <v>1</v>
      </c>
      <c r="AR21">
        <f xml:space="preserve"> ROUNDUP(  IF( D21&lt;100, D21/BB21, 3*ROUNDUP(D21/BC21,0) ), 0 )</f>
        <v>0</v>
      </c>
      <c r="AU21" t="str">
        <f xml:space="preserve"> VLOOKUP( $A21, Tables!$A$501:$I$507, 1, 0 )</f>
        <v>Bracket</v>
      </c>
      <c r="AV21">
        <f xml:space="preserve"> VLOOKUP( $A21, Tables!$A$501:$I$507, 2, 0 )</f>
        <v>10</v>
      </c>
      <c r="AW21">
        <f xml:space="preserve"> VLOOKUP( $A21, Tables!$A$501:$I$507, 3, 0 )</f>
        <v>1</v>
      </c>
      <c r="AX21" s="85">
        <f xml:space="preserve"> VLOOKUP( $A21, Tables!$A$501:$I$507, 4, 0 )</f>
        <v>0</v>
      </c>
      <c r="AY21" s="85">
        <f xml:space="preserve"> VLOOKUP( $A21, Tables!$A$501:$I$507, 5, 0 )</f>
        <v>1</v>
      </c>
      <c r="AZ21">
        <f xml:space="preserve"> VLOOKUP( $A21, Tables!$A$501:$I$507, 6, 0 )</f>
        <v>1</v>
      </c>
      <c r="BA21">
        <f xml:space="preserve"> VLOOKUP( $A21, Tables!$A$501:$I$507, 7, 0 )</f>
        <v>2</v>
      </c>
      <c r="BB21">
        <f xml:space="preserve"> VLOOKUP( $A21, Tables!$A$501:$I$507, 8, 0 )</f>
        <v>9999</v>
      </c>
      <c r="BC21">
        <f xml:space="preserve"> VLOOKUP( $A21, Tables!$A$501:$I$507, 9, 0 )</f>
        <v>9999</v>
      </c>
      <c r="BD21" s="1" t="str">
        <f xml:space="preserve"> VLOOKUP( $A21, Tables!$A$501:$J$507, 10, 0 )</f>
        <v>Bracket</v>
      </c>
      <c r="BF21" t="str">
        <f xml:space="preserve"> VLOOKUP( $C21, Tables!$A$511:$D$540, 1, 0 )</f>
        <v/>
      </c>
      <c r="BG21">
        <f xml:space="preserve"> VLOOKUP( $C21, Tables!$A$511:$D$540, 2, 0 )</f>
        <v>0</v>
      </c>
      <c r="BH21">
        <f xml:space="preserve"> VLOOKUP( $C21, Tables!$A$511:$D$540, 3, 0 )</f>
        <v>0</v>
      </c>
      <c r="BI21">
        <f xml:space="preserve"> VLOOKUP( $C21, Tables!$A$511:$D$540, 4, 0 )</f>
        <v>0</v>
      </c>
      <c r="BK21" t="str">
        <f xml:space="preserve"> IF( E21&gt;Tables!B403,Tables!$A$507,Tables!$A$501)</f>
        <v>Bracket</v>
      </c>
      <c r="BL21" t="str">
        <f>Tables!$A$506</f>
        <v>Grapple</v>
      </c>
      <c r="BM21" t="str">
        <f>Tables!$A$507</f>
        <v>Permanent Connector</v>
      </c>
      <c r="BN21" t="str">
        <f>Tables!$A$503</f>
        <v>Interior/Hold</v>
      </c>
      <c r="BO21" t="str">
        <f>Tables!$A$504</f>
        <v>Hangar</v>
      </c>
      <c r="BQ21">
        <f t="shared" si="84"/>
        <v>0</v>
      </c>
      <c r="DL21"/>
      <c r="DQ21" s="44"/>
      <c r="DW21" s="194">
        <f xml:space="preserve"> SUM( DX$4:DX21, -DX21 )</f>
        <v>0</v>
      </c>
      <c r="DX21" s="194">
        <v>0</v>
      </c>
      <c r="DY21" s="194">
        <f xml:space="preserve"> SUM( DZ$4:DZ21, -DZ21 )</f>
        <v>0</v>
      </c>
      <c r="DZ21" s="194">
        <v>0</v>
      </c>
      <c r="EA21" s="194">
        <f xml:space="preserve"> SUM( EB$4:EB21, -EB21 )</f>
        <v>0</v>
      </c>
      <c r="EB21" s="194">
        <v>0</v>
      </c>
      <c r="EC21" s="194">
        <f xml:space="preserve"> SUM( ED$4:ED21, -ED21 )</f>
        <v>0</v>
      </c>
      <c r="ED21" s="194">
        <v>0</v>
      </c>
      <c r="EE21" s="194">
        <f xml:space="preserve"> SUM( EF$4:EF21, -EF21 )</f>
        <v>0</v>
      </c>
      <c r="EF21" s="194">
        <v>0</v>
      </c>
      <c r="EG21" s="194">
        <f xml:space="preserve"> SUM( EH$4:EH21, -EH21 )</f>
        <v>0</v>
      </c>
      <c r="EH21" s="194">
        <v>0</v>
      </c>
      <c r="EI21" s="194">
        <f xml:space="preserve"> SUM( EJ$4:EJ21, -EJ21 )</f>
        <v>0</v>
      </c>
      <c r="EJ21" s="194">
        <v>0</v>
      </c>
      <c r="EK21" s="194">
        <f xml:space="preserve"> SUM( EL$4:EL21, -EL21 )</f>
        <v>0</v>
      </c>
      <c r="EL21" s="194">
        <f t="shared" si="73"/>
        <v>0</v>
      </c>
      <c r="EM21" s="194">
        <f xml:space="preserve"> SUM( EN$4:EN21, -EN21 )</f>
        <v>0</v>
      </c>
      <c r="EN21" s="194">
        <v>0</v>
      </c>
      <c r="EO21" s="194">
        <f xml:space="preserve"> SUM( EP$4:EP21, -EP21 )</f>
        <v>0</v>
      </c>
      <c r="EP21" s="194">
        <v>0</v>
      </c>
      <c r="EQ21" s="194">
        <f xml:space="preserve"> SUM( ER$4:ER21, -ER21 )</f>
        <v>0</v>
      </c>
      <c r="ER21" s="194">
        <v>0</v>
      </c>
      <c r="ES21" s="194">
        <f xml:space="preserve"> SUM( ET$4:ET21, -ET21 )</f>
        <v>0</v>
      </c>
      <c r="ET21" s="194">
        <v>0</v>
      </c>
      <c r="EU21" s="194">
        <f xml:space="preserve"> SUM( EV$4:EV21, -EV21 )</f>
        <v>0</v>
      </c>
      <c r="EV21" s="194">
        <v>0</v>
      </c>
      <c r="EW21" s="194">
        <f xml:space="preserve"> SUM( EX$4:EX21, -EX21 )</f>
        <v>0</v>
      </c>
      <c r="EX21" s="194">
        <v>0</v>
      </c>
      <c r="EZ21" t="str">
        <f t="shared" ref="EZ21:EZ45" si="92">A21</f>
        <v>Bracket</v>
      </c>
      <c r="FB21" s="237">
        <f xml:space="preserve"> SUM( FC$4:FC21, -FC21 )</f>
        <v>1</v>
      </c>
      <c r="FC21" s="237">
        <v>0</v>
      </c>
      <c r="FD21" s="237">
        <f xml:space="preserve"> SUM( FE$4:FE21, -FE21 )</f>
        <v>1</v>
      </c>
      <c r="FE21" s="237">
        <v>0</v>
      </c>
      <c r="FF21" t="str">
        <f t="shared" si="16"/>
        <v>Bracket</v>
      </c>
    </row>
    <row r="22" spans="1:162">
      <c r="A22" s="16" t="str">
        <f xml:space="preserve"> IF( D22&gt;10, BL22, BK22 )</f>
        <v>Bracket</v>
      </c>
      <c r="C22" s="16" t="s">
        <v>693</v>
      </c>
      <c r="D22" s="32">
        <f t="shared" ref="D22" si="93" xml:space="preserve"> BH22</f>
        <v>0</v>
      </c>
      <c r="E22" s="143">
        <f xml:space="preserve"> IF( D22&gt;0, D22, BH22 )</f>
        <v>0</v>
      </c>
      <c r="F22" s="66"/>
      <c r="G22" s="27">
        <f xml:space="preserve"> IFERROR( Simple!#REF!, 1*(D22&gt;0) )</f>
        <v>0</v>
      </c>
      <c r="H22" s="86"/>
      <c r="I22" s="2"/>
      <c r="J22" s="86">
        <f>G22</f>
        <v>0</v>
      </c>
      <c r="K22" s="123">
        <f xml:space="preserve"> J22 * AR22 * ( AW22 + D22*AX22 )</f>
        <v>0</v>
      </c>
      <c r="L22" s="123">
        <f xml:space="preserve"> J22 * AR22 * AQ22</f>
        <v>0</v>
      </c>
      <c r="O22" s="48">
        <f>J22*(1+1*(D22&gt;10))</f>
        <v>0</v>
      </c>
      <c r="P22" s="86">
        <f>J22 * D22 *  AY22</f>
        <v>0</v>
      </c>
      <c r="Q22" s="142" t="str">
        <f xml:space="preserve"> IF( D22&gt;AV22, "Craft too large for bracket", "" )</f>
        <v/>
      </c>
      <c r="S22" s="223"/>
      <c r="Z22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22" s="160" t="str">
        <f xml:space="preserve"> IF( OR(J22&lt;&gt;0,K22&lt;&gt;0,L22&lt;&gt;0), CONCATENATE( newline &amp; AB22 &amp; AC22 &amp; AD22 &amp; AE22 &amp; AF22 &amp; AG22 &amp; AH22 &amp; AI22 &amp; AJ22 &amp; AK22 ), "" )</f>
        <v/>
      </c>
      <c r="AB22" s="161" t="str">
        <f xml:space="preserve"> CONCATENATE( LEFT(A22,7) &amp;" "&amp; LEFT(C22,15) &amp;" "&amp; D22&amp;" Dt" )</f>
        <v>Bracket  0 Dt</v>
      </c>
      <c r="AC22" s="160" t="str">
        <f t="shared" si="1"/>
        <v xml:space="preserve">                  </v>
      </c>
      <c r="AD22" s="160" t="str">
        <f t="shared" si="2"/>
        <v xml:space="preserve">           </v>
      </c>
      <c r="AE22" s="162" t="str">
        <f t="shared" si="63"/>
        <v>0</v>
      </c>
      <c r="AF22" s="160" t="str">
        <f t="shared" si="3"/>
        <v xml:space="preserve">           </v>
      </c>
      <c r="AG22" s="161" t="str">
        <f t="shared" si="64"/>
        <v>0</v>
      </c>
      <c r="AH22" s="160" t="str">
        <f t="shared" si="53"/>
        <v xml:space="preserve">           </v>
      </c>
      <c r="AI22" s="163" t="str">
        <f t="shared" si="65"/>
        <v>0</v>
      </c>
      <c r="AJ22" s="160" t="str">
        <f t="shared" si="5"/>
        <v xml:space="preserve">      </v>
      </c>
      <c r="AK22" s="163" t="str">
        <f t="shared" si="14"/>
        <v/>
      </c>
      <c r="AL22" s="163"/>
      <c r="AM22" s="153"/>
      <c r="AN22" s="153"/>
      <c r="AO22" s="153">
        <f xml:space="preserve"> G22 * ROUNDUP(IFERROR(K22/G22,0)/35,0) * (L22&gt;0)</f>
        <v>0</v>
      </c>
      <c r="AP22" s="153"/>
      <c r="AQ22">
        <f t="shared" ref="AQ22" si="94" xml:space="preserve"> IF( Config&lt;5, AZ22, BA22 )</f>
        <v>1</v>
      </c>
      <c r="AR22">
        <f xml:space="preserve"> ROUNDUP(  IF( D22&lt;100, D22/BB22, 3*ROUNDUP(D22/BC22,0) ), 0 )</f>
        <v>0</v>
      </c>
      <c r="AU22" t="str">
        <f xml:space="preserve"> VLOOKUP( $A22, Tables!$A$501:$I$507, 1, 0 )</f>
        <v>Bracket</v>
      </c>
      <c r="AV22">
        <f xml:space="preserve"> VLOOKUP( $A22, Tables!$A$501:$I$507, 2, 0 )</f>
        <v>10</v>
      </c>
      <c r="AW22">
        <f xml:space="preserve"> VLOOKUP( $A22, Tables!$A$501:$I$507, 3, 0 )</f>
        <v>1</v>
      </c>
      <c r="AX22" s="85">
        <f xml:space="preserve"> VLOOKUP( $A22, Tables!$A$501:$I$507, 4, 0 )</f>
        <v>0</v>
      </c>
      <c r="AY22" s="85">
        <f xml:space="preserve"> VLOOKUP( $A22, Tables!$A$501:$I$507, 5, 0 )</f>
        <v>1</v>
      </c>
      <c r="AZ22">
        <f xml:space="preserve"> VLOOKUP( $A22, Tables!$A$501:$I$507, 6, 0 )</f>
        <v>1</v>
      </c>
      <c r="BA22">
        <f xml:space="preserve"> VLOOKUP( $A22, Tables!$A$501:$I$507, 7, 0 )</f>
        <v>2</v>
      </c>
      <c r="BB22">
        <f xml:space="preserve"> VLOOKUP( $A22, Tables!$A$501:$I$507, 8, 0 )</f>
        <v>9999</v>
      </c>
      <c r="BC22">
        <f xml:space="preserve"> VLOOKUP( $A22, Tables!$A$501:$I$507, 9, 0 )</f>
        <v>9999</v>
      </c>
      <c r="BD22" s="1" t="str">
        <f xml:space="preserve"> VLOOKUP( $A22, Tables!$A$501:$J$507, 10, 0 )</f>
        <v>Bracket</v>
      </c>
      <c r="BF22" t="str">
        <f xml:space="preserve"> VLOOKUP( $C22, Tables!$A$511:$D$540, 1, 0 )</f>
        <v/>
      </c>
      <c r="BG22">
        <f xml:space="preserve"> VLOOKUP( $C22, Tables!$A$511:$D$540, 2, 0 )</f>
        <v>0</v>
      </c>
      <c r="BH22">
        <f xml:space="preserve"> VLOOKUP( $C22, Tables!$A$511:$D$540, 3, 0 )</f>
        <v>0</v>
      </c>
      <c r="BI22">
        <f xml:space="preserve"> VLOOKUP( $C22, Tables!$A$511:$D$540, 4, 0 )</f>
        <v>0</v>
      </c>
      <c r="BK22" t="str">
        <f xml:space="preserve"> IF( E22&gt;Tables!B404,Tables!$A$507,Tables!$A$501)</f>
        <v>Bracket</v>
      </c>
      <c r="BL22" t="str">
        <f>Tables!$A$506</f>
        <v>Grapple</v>
      </c>
      <c r="BM22" t="str">
        <f>Tables!$A$507</f>
        <v>Permanent Connector</v>
      </c>
      <c r="BN22" t="str">
        <f>Tables!$A$503</f>
        <v>Interior/Hold</v>
      </c>
      <c r="BO22" t="str">
        <f>Tables!$A$504</f>
        <v>Hangar</v>
      </c>
      <c r="BQ22">
        <f t="shared" si="84"/>
        <v>0</v>
      </c>
      <c r="CV22" t="s">
        <v>866</v>
      </c>
      <c r="DL22"/>
      <c r="DQ22" s="44"/>
      <c r="DW22" s="194">
        <f xml:space="preserve"> SUM( DX$4:DX22, -DX22 )</f>
        <v>0</v>
      </c>
      <c r="DX22" s="194">
        <v>0</v>
      </c>
      <c r="DY22" s="194">
        <f xml:space="preserve"> SUM( DZ$4:DZ22, -DZ22 )</f>
        <v>0</v>
      </c>
      <c r="DZ22" s="194">
        <v>0</v>
      </c>
      <c r="EA22" s="194">
        <f xml:space="preserve"> SUM( EB$4:EB22, -EB22 )</f>
        <v>0</v>
      </c>
      <c r="EB22" s="194">
        <v>0</v>
      </c>
      <c r="EC22" s="194">
        <f xml:space="preserve"> SUM( ED$4:ED22, -ED22 )</f>
        <v>0</v>
      </c>
      <c r="ED22" s="194">
        <v>0</v>
      </c>
      <c r="EE22" s="194">
        <f xml:space="preserve"> SUM( EF$4:EF22, -EF22 )</f>
        <v>0</v>
      </c>
      <c r="EF22" s="194">
        <v>0</v>
      </c>
      <c r="EG22" s="194">
        <f xml:space="preserve"> SUM( EH$4:EH22, -EH22 )</f>
        <v>0</v>
      </c>
      <c r="EH22" s="194">
        <v>0</v>
      </c>
      <c r="EI22" s="194">
        <f xml:space="preserve"> SUM( EJ$4:EJ22, -EJ22 )</f>
        <v>0</v>
      </c>
      <c r="EJ22" s="194">
        <v>0</v>
      </c>
      <c r="EK22" s="194">
        <f xml:space="preserve"> SUM( EL$4:EL22, -EL22 )</f>
        <v>0</v>
      </c>
      <c r="EL22" s="194">
        <f t="shared" si="73"/>
        <v>0</v>
      </c>
      <c r="EM22" s="194">
        <f xml:space="preserve"> SUM( EN$4:EN22, -EN22 )</f>
        <v>0</v>
      </c>
      <c r="EN22" s="194">
        <v>0</v>
      </c>
      <c r="EO22" s="194">
        <f xml:space="preserve"> SUM( EP$4:EP22, -EP22 )</f>
        <v>0</v>
      </c>
      <c r="EP22" s="194">
        <v>0</v>
      </c>
      <c r="EQ22" s="194">
        <f xml:space="preserve"> SUM( ER$4:ER22, -ER22 )</f>
        <v>0</v>
      </c>
      <c r="ER22" s="194">
        <v>0</v>
      </c>
      <c r="ES22" s="194">
        <f xml:space="preserve"> SUM( ET$4:ET22, -ET22 )</f>
        <v>0</v>
      </c>
      <c r="ET22" s="194">
        <v>0</v>
      </c>
      <c r="EU22" s="194">
        <f xml:space="preserve"> SUM( EV$4:EV22, -EV22 )</f>
        <v>0</v>
      </c>
      <c r="EV22" s="194">
        <v>0</v>
      </c>
      <c r="EW22" s="194">
        <f xml:space="preserve"> SUM( EX$4:EX22, -EX22 )</f>
        <v>0</v>
      </c>
      <c r="EX22" s="194">
        <v>0</v>
      </c>
      <c r="EZ22" t="str">
        <f t="shared" si="92"/>
        <v>Bracket</v>
      </c>
      <c r="FB22" s="237">
        <f xml:space="preserve"> SUM( FC$4:FC22, -FC22 )</f>
        <v>1</v>
      </c>
      <c r="FC22" s="237">
        <v>0</v>
      </c>
      <c r="FD22" s="237">
        <f xml:space="preserve"> SUM( FE$4:FE22, -FE22 )</f>
        <v>1</v>
      </c>
      <c r="FE22" s="237">
        <v>0</v>
      </c>
      <c r="FF22" t="str">
        <f t="shared" si="16"/>
        <v>Bracket</v>
      </c>
    </row>
    <row r="23" spans="1:162">
      <c r="C23" s="66"/>
      <c r="D23" s="66"/>
      <c r="E23" s="66"/>
      <c r="F23" s="66"/>
      <c r="G23" s="1" t="s">
        <v>1114</v>
      </c>
      <c r="H23" s="86"/>
      <c r="I23" s="4"/>
      <c r="J23" s="48"/>
      <c r="K23" s="123"/>
      <c r="L23" s="123"/>
      <c r="M23" s="48"/>
      <c r="N23" s="48"/>
      <c r="O23" s="48"/>
      <c r="S23" s="223"/>
      <c r="Z23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23" s="160" t="str">
        <f xml:space="preserve"> IF( SUM(K20:L23)&gt;0, CONCATENATE( newline &amp; AB23 &amp; AC23 &amp; AD23 &amp; AE23 &amp; AF23 &amp; AG23 &amp; AH23 &amp; AI23 &amp; AJ23 &amp; AK23 ), "" )</f>
        <v/>
      </c>
      <c r="AB23" s="161" t="str">
        <f t="shared" ref="AB23:AB24" si="95" xml:space="preserve"> CONCATENATE( A23 )</f>
        <v/>
      </c>
      <c r="AC23" s="160" t="str">
        <f t="shared" si="1"/>
        <v xml:space="preserve">                               </v>
      </c>
      <c r="AD23" s="160" t="str">
        <f t="shared" ref="AD23:AD24" si="96" xml:space="preserve"> CONCATENATE( REPT(" ",MAX(0,12-LEN(AE23))) )</f>
        <v xml:space="preserve">            </v>
      </c>
      <c r="AE23" s="162" t="str">
        <f t="shared" ref="AE23" si="97" xml:space="preserve"> CONCATENATE( J23 )</f>
        <v/>
      </c>
      <c r="AF23" s="160" t="str">
        <f t="shared" ref="AF23:AF24" si="98" xml:space="preserve"> CONCATENATE( REPT(" ",MAX(0,12-LEN(AG23))) )</f>
        <v xml:space="preserve">            </v>
      </c>
      <c r="AG23" s="161" t="str">
        <f t="shared" ref="AG23" si="99" xml:space="preserve"> CONCATENATE( K23 )</f>
        <v/>
      </c>
      <c r="AH23" s="160" t="str">
        <f t="shared" ref="AH23:AH24" si="100" xml:space="preserve"> CONCATENATE( REPT(" ",MAX(0,12-LEN(AI23))) )</f>
        <v xml:space="preserve">            </v>
      </c>
      <c r="AI23" s="163" t="str">
        <f t="shared" ref="AI23" si="101" xml:space="preserve"> CONCATENATE( L23 )</f>
        <v/>
      </c>
      <c r="AJ23" s="160" t="str">
        <f t="shared" si="5"/>
        <v xml:space="preserve">      </v>
      </c>
      <c r="AK23" s="163" t="str">
        <f t="shared" si="14"/>
        <v/>
      </c>
      <c r="AL23" s="163"/>
      <c r="AM23" s="153"/>
      <c r="AN23" s="153"/>
      <c r="AO23" s="153"/>
      <c r="AP23" s="153"/>
      <c r="BQ23">
        <f t="shared" si="84"/>
        <v>0</v>
      </c>
      <c r="CS23" t="s">
        <v>1080</v>
      </c>
      <c r="CV23" s="214" t="b">
        <f xml:space="preserve"> OR(  -CV24&gt;FuelJumpPercent,  ( IF(CV24&lt;0, ABS( ( FuelJumpPercent / (-CV24) ) - 1 ), 1 ) &lt;= 0.3 )  )</f>
        <v>0</v>
      </c>
      <c r="CX23" t="s">
        <v>239</v>
      </c>
      <c r="DL23"/>
      <c r="DQ23" s="44"/>
      <c r="DW23" s="194">
        <f xml:space="preserve"> SUM( DX$4:DX23, -DX23 )</f>
        <v>0</v>
      </c>
      <c r="DX23" s="194">
        <v>0</v>
      </c>
      <c r="DY23" s="194">
        <f xml:space="preserve"> SUM( DZ$4:DZ23, -DZ23 )</f>
        <v>0</v>
      </c>
      <c r="DZ23" s="194">
        <v>0</v>
      </c>
      <c r="EA23" s="194">
        <f xml:space="preserve"> SUM( EB$4:EB23, -EB23 )</f>
        <v>0</v>
      </c>
      <c r="EB23" s="194">
        <v>0</v>
      </c>
      <c r="EC23" s="194">
        <f xml:space="preserve"> SUM( ED$4:ED23, -ED23 )</f>
        <v>0</v>
      </c>
      <c r="ED23" s="194">
        <v>0</v>
      </c>
      <c r="EE23" s="194">
        <f xml:space="preserve"> SUM( EF$4:EF23, -EF23 )</f>
        <v>0</v>
      </c>
      <c r="EF23" s="194">
        <v>0</v>
      </c>
      <c r="EG23" s="194">
        <f xml:space="preserve"> SUM( EH$4:EH23, -EH23 )</f>
        <v>0</v>
      </c>
      <c r="EH23" s="194">
        <v>0</v>
      </c>
      <c r="EI23" s="194">
        <f xml:space="preserve"> SUM( EJ$4:EJ23, -EJ23 )</f>
        <v>0</v>
      </c>
      <c r="EJ23" s="194">
        <v>0</v>
      </c>
      <c r="EK23" s="194">
        <f xml:space="preserve"> SUM( EL$4:EL23, -EL23 )</f>
        <v>0</v>
      </c>
      <c r="EL23" s="194">
        <f t="shared" si="73"/>
        <v>0</v>
      </c>
      <c r="EM23" s="194">
        <f xml:space="preserve"> SUM( EN$4:EN23, -EN23 )</f>
        <v>0</v>
      </c>
      <c r="EN23" s="194">
        <v>0</v>
      </c>
      <c r="EO23" s="194">
        <f xml:space="preserve"> SUM( EP$4:EP23, -EP23 )</f>
        <v>0</v>
      </c>
      <c r="EP23" s="194">
        <v>0</v>
      </c>
      <c r="EQ23" s="194">
        <f xml:space="preserve"> SUM( ER$4:ER23, -ER23 )</f>
        <v>0</v>
      </c>
      <c r="ER23" s="194">
        <v>0</v>
      </c>
      <c r="ES23" s="194">
        <f xml:space="preserve"> SUM( ET$4:ET23, -ET23 )</f>
        <v>0</v>
      </c>
      <c r="ET23" s="194">
        <v>0</v>
      </c>
      <c r="EU23" s="194">
        <f xml:space="preserve"> SUM( EV$4:EV23, -EV23 )</f>
        <v>0</v>
      </c>
      <c r="EV23" s="194">
        <v>0</v>
      </c>
      <c r="EW23" s="194">
        <f xml:space="preserve"> SUM( EX$4:EX23, -EX23 )</f>
        <v>0</v>
      </c>
      <c r="EX23" s="194">
        <v>0</v>
      </c>
      <c r="EZ23">
        <f t="shared" si="92"/>
        <v>0</v>
      </c>
      <c r="FB23" s="237">
        <f xml:space="preserve"> SUM( FC$4:FC23, -FC23 )</f>
        <v>1</v>
      </c>
      <c r="FC23" s="237">
        <v>0</v>
      </c>
      <c r="FD23" s="237">
        <f xml:space="preserve"> SUM( FE$4:FE23, -FE23 )</f>
        <v>1</v>
      </c>
      <c r="FE23" s="237">
        <v>0</v>
      </c>
      <c r="FF23">
        <f t="shared" si="16"/>
        <v>0</v>
      </c>
    </row>
    <row r="24" spans="1:162">
      <c r="A24" t="s">
        <v>1020</v>
      </c>
      <c r="C24" s="115">
        <f>(  SUM( P20:P23 ) ) * G24</f>
        <v>0</v>
      </c>
      <c r="D24" s="127" t="str">
        <f xml:space="preserve"> IF( AND( JumpGrid&lt;=0, OR(ExternalLoad&gt;0,C25&gt;0)), "Invalid with Jump Grid", "" )</f>
        <v/>
      </c>
      <c r="E24" s="39"/>
      <c r="F24" s="39"/>
      <c r="G24" s="199">
        <f xml:space="preserve"> 1*(SUM( P20:P23 )&gt;25)</f>
        <v>0</v>
      </c>
      <c r="H24" s="86">
        <v>0</v>
      </c>
      <c r="I24" s="4"/>
      <c r="J24" s="191"/>
      <c r="K24" s="194"/>
      <c r="L24" s="194"/>
      <c r="M24" s="191"/>
      <c r="N24" s="191"/>
      <c r="O24" s="191"/>
      <c r="P24" t="s">
        <v>774</v>
      </c>
      <c r="R24" s="202">
        <f xml:space="preserve"> - SUM( P20:P23 )*(G24=0)</f>
        <v>0</v>
      </c>
      <c r="S24" s="224"/>
      <c r="Z24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24" s="160" t="str">
        <f xml:space="preserve"> IF( OR(C24&gt;0,R24&lt;&gt;0), CONCATENATE( newline &amp; AB24 &amp; AC24 &amp; AD24 &amp; AE24 &amp; AF24 &amp; AG24 &amp; AH24 &amp; AI24 &amp; AJ24 &amp; AK24 &amp; "  " &amp; AM24 ), "" )</f>
        <v/>
      </c>
      <c r="AB24" s="161" t="str">
        <f t="shared" si="95"/>
        <v>External Pods&amp;Subhulls</v>
      </c>
      <c r="AC24" s="160" t="str">
        <f t="shared" si="1"/>
        <v xml:space="preserve">         </v>
      </c>
      <c r="AD24" s="160" t="str">
        <f t="shared" si="96"/>
        <v xml:space="preserve">           </v>
      </c>
      <c r="AE24" s="162" t="str">
        <f xml:space="preserve"> CONCATENATE( C24 )</f>
        <v>0</v>
      </c>
      <c r="AF24" s="160" t="str">
        <f t="shared" si="98"/>
        <v xml:space="preserve">            </v>
      </c>
      <c r="AG24" s="161" t="str">
        <f xml:space="preserve"> ""</f>
        <v/>
      </c>
      <c r="AH24" s="160" t="str">
        <f t="shared" si="100"/>
        <v xml:space="preserve">            </v>
      </c>
      <c r="AI24" s="163"/>
      <c r="AJ24" s="160" t="str">
        <f t="shared" si="5"/>
        <v xml:space="preserve">      </v>
      </c>
      <c r="AK24" s="163" t="str">
        <f t="shared" si="14"/>
        <v/>
      </c>
      <c r="AL24" s="163"/>
      <c r="AM24" s="153" t="str">
        <f xml:space="preserve"> CONCATENATE( IF(ABS(R24)&lt;10," ","") &amp; IF(R24&gt;=0," ","") &amp; R24 &amp; "  " &amp; P24 &amp; " " &amp; T24 )</f>
        <v xml:space="preserve">  0  Pods &amp; Subhulls </v>
      </c>
      <c r="AN24" s="153"/>
      <c r="AO24" s="153"/>
      <c r="AP24" s="153"/>
      <c r="CS24" t="b">
        <f xml:space="preserve"> ( JumpN &gt; CS26 )</f>
        <v>1</v>
      </c>
      <c r="CV24" s="215">
        <f xml:space="preserve"> SUMIF( CV29:CV35, "&lt;0" )</f>
        <v>0</v>
      </c>
      <c r="CW24" s="210">
        <f xml:space="preserve"> IF( DA26&lt;CW26, -1, 1 )</f>
        <v>1</v>
      </c>
      <c r="CX24" s="210">
        <f xml:space="preserve"> IF( DB26&lt;CX26, -1, 1 )</f>
        <v>1</v>
      </c>
      <c r="CY24" s="210">
        <f t="shared" ref="CY24:CZ24" si="102" xml:space="preserve"> IF( DC26&lt;CY26, -1, 1 )</f>
        <v>1</v>
      </c>
      <c r="CZ24" s="210">
        <f t="shared" si="102"/>
        <v>1</v>
      </c>
      <c r="DL24"/>
      <c r="DQ24" s="44"/>
      <c r="DW24" s="194">
        <f xml:space="preserve"> SUM( DX$4:DX24, -DX24 )</f>
        <v>0</v>
      </c>
      <c r="DX24" s="194">
        <v>0</v>
      </c>
      <c r="DY24" s="194">
        <f xml:space="preserve"> SUM( DZ$4:DZ24, -DZ24 )</f>
        <v>0</v>
      </c>
      <c r="DZ24" s="194">
        <v>0</v>
      </c>
      <c r="EA24" s="194">
        <f xml:space="preserve"> SUM( EB$4:EB24, -EB24 )</f>
        <v>0</v>
      </c>
      <c r="EB24" s="194">
        <v>0</v>
      </c>
      <c r="EC24" s="194">
        <f xml:space="preserve"> SUM( ED$4:ED24, -ED24 )</f>
        <v>0</v>
      </c>
      <c r="ED24" s="194">
        <v>0</v>
      </c>
      <c r="EE24" s="194">
        <f xml:space="preserve"> SUM( EF$4:EF24, -EF24 )</f>
        <v>0</v>
      </c>
      <c r="EF24" s="194">
        <v>0</v>
      </c>
      <c r="EG24" s="194">
        <f xml:space="preserve"> SUM( EH$4:EH24, -EH24 )</f>
        <v>0</v>
      </c>
      <c r="EH24" s="194">
        <v>0</v>
      </c>
      <c r="EI24" s="194">
        <f xml:space="preserve"> SUM( EJ$4:EJ24, -EJ24 )</f>
        <v>0</v>
      </c>
      <c r="EJ24" s="194">
        <v>0</v>
      </c>
      <c r="EK24" s="194">
        <f xml:space="preserve"> SUM( EL$4:EL24, -EL24 )</f>
        <v>0</v>
      </c>
      <c r="EL24" s="194">
        <f t="shared" si="73"/>
        <v>0</v>
      </c>
      <c r="EM24" s="194">
        <f xml:space="preserve"> SUM( EN$4:EN24, -EN24 )</f>
        <v>0</v>
      </c>
      <c r="EN24" s="194">
        <v>0</v>
      </c>
      <c r="EO24" s="194">
        <f xml:space="preserve"> SUM( EP$4:EP24, -EP24 )</f>
        <v>0</v>
      </c>
      <c r="EP24" s="194">
        <v>0</v>
      </c>
      <c r="EQ24" s="194">
        <f xml:space="preserve"> SUM( ER$4:ER24, -ER24 )</f>
        <v>0</v>
      </c>
      <c r="ER24" s="194">
        <v>0</v>
      </c>
      <c r="ES24" s="194">
        <f xml:space="preserve"> SUM( ET$4:ET24, -ET24 )</f>
        <v>0</v>
      </c>
      <c r="ET24" s="194">
        <v>0</v>
      </c>
      <c r="EU24" s="194">
        <f xml:space="preserve"> SUM( EV$4:EV24, -EV24 )</f>
        <v>0</v>
      </c>
      <c r="EV24" s="194">
        <v>0</v>
      </c>
      <c r="EW24" s="194">
        <f xml:space="preserve"> SUM( EX$4:EX24, -EX24 )</f>
        <v>0</v>
      </c>
      <c r="EX24" s="194">
        <v>0</v>
      </c>
      <c r="EZ24" t="str">
        <f t="shared" si="92"/>
        <v>External Pods&amp;Subhulls</v>
      </c>
      <c r="FB24" s="237">
        <f xml:space="preserve"> SUM( FC$4:FC24, -FC24 )</f>
        <v>1</v>
      </c>
      <c r="FC24" s="237">
        <v>0</v>
      </c>
      <c r="FD24" s="237">
        <f xml:space="preserve"> SUM( FE$4:FE24, -FE24 )</f>
        <v>1</v>
      </c>
      <c r="FE24" s="237">
        <v>0</v>
      </c>
      <c r="FF24" t="str">
        <f t="shared" si="16"/>
        <v>External Pods&amp;Subhulls</v>
      </c>
    </row>
    <row r="25" spans="1:162">
      <c r="A25" t="s">
        <v>1065</v>
      </c>
      <c r="C25" s="115">
        <f>(  SUM( P115:P120 ) ) * G25</f>
        <v>0</v>
      </c>
      <c r="D25" s="127" t="str">
        <f xml:space="preserve"> IF( AND( JumpGrid&lt;=0, OR(ExternalLoad&gt;0,C26&gt;0)), "Invalid with Jump Grid", "" )</f>
        <v/>
      </c>
      <c r="E25" s="39"/>
      <c r="F25" s="39"/>
      <c r="G25" s="20">
        <f xml:space="preserve"> 1*(SUM( P115:P120 )&gt;25)</f>
        <v>0</v>
      </c>
      <c r="H25" s="28">
        <v>0</v>
      </c>
      <c r="I25" s="4"/>
      <c r="J25" s="21"/>
      <c r="K25" s="51"/>
      <c r="L25" s="51"/>
      <c r="M25" s="21"/>
      <c r="N25" s="48"/>
      <c r="O25" s="21"/>
      <c r="P25" t="s">
        <v>164</v>
      </c>
      <c r="R25" s="202">
        <f xml:space="preserve"> - SUM( P115:P120 )*(G25=0)</f>
        <v>0</v>
      </c>
      <c r="S25" s="224"/>
      <c r="Z25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25" s="160" t="str">
        <f t="shared" ref="AA25:AA26" si="103" xml:space="preserve"> IF( OR(C25&gt;0,R25&lt;&gt;0), CONCATENATE( newline &amp; AB25 &amp; AC25 &amp; AD25 &amp; AE25 &amp; AF25 &amp; AG25 &amp; AH25 &amp; AI25 &amp; AJ25 &amp; AK25 &amp; "  " &amp; AM25 ), "" )</f>
        <v/>
      </c>
      <c r="AB25" s="161" t="str">
        <f t="shared" si="74"/>
        <v>External Craft</v>
      </c>
      <c r="AC25" s="160" t="str">
        <f t="shared" si="1"/>
        <v xml:space="preserve">                 </v>
      </c>
      <c r="AD25" s="160" t="str">
        <f t="shared" si="2"/>
        <v xml:space="preserve">           </v>
      </c>
      <c r="AE25" s="162" t="str">
        <f xml:space="preserve"> CONCATENATE( C25 )</f>
        <v>0</v>
      </c>
      <c r="AF25" s="160" t="str">
        <f t="shared" si="3"/>
        <v xml:space="preserve">            </v>
      </c>
      <c r="AG25" s="161" t="str">
        <f t="shared" ref="AG25:AG27" si="104" xml:space="preserve"> ""</f>
        <v/>
      </c>
      <c r="AH25" s="160" t="str">
        <f t="shared" si="53"/>
        <v xml:space="preserve">            </v>
      </c>
      <c r="AI25" s="163"/>
      <c r="AJ25" s="160" t="str">
        <f t="shared" si="5"/>
        <v xml:space="preserve">      </v>
      </c>
      <c r="AK25" s="163" t="str">
        <f t="shared" si="14"/>
        <v/>
      </c>
      <c r="AL25" s="163"/>
      <c r="AM25" s="153" t="str">
        <f t="shared" ref="AM25:AM26" si="105" xml:space="preserve"> CONCATENATE( IF(ABS(R25)&lt;10," ","") &amp; IF(R25&gt;=0," ","") &amp; R25 &amp; "  " &amp; P25 &amp; " " &amp; T25 )</f>
        <v xml:space="preserve">  0  External Craft </v>
      </c>
      <c r="AN25" s="153"/>
      <c r="AO25" s="153"/>
      <c r="AP25" s="153"/>
      <c r="CV25" s="218" t="s">
        <v>2</v>
      </c>
      <c r="DL25"/>
      <c r="DQ25" s="44"/>
      <c r="DW25" s="194">
        <f xml:space="preserve"> SUM( DX$4:DX25, -DX25 )</f>
        <v>0</v>
      </c>
      <c r="DX25" s="194">
        <v>0</v>
      </c>
      <c r="DY25" s="194">
        <f xml:space="preserve"> SUM( DZ$4:DZ25, -DZ25 )</f>
        <v>0</v>
      </c>
      <c r="DZ25" s="194">
        <v>0</v>
      </c>
      <c r="EA25" s="194">
        <f xml:space="preserve"> SUM( EB$4:EB25, -EB25 )</f>
        <v>0</v>
      </c>
      <c r="EB25" s="194">
        <v>0</v>
      </c>
      <c r="EC25" s="194">
        <f xml:space="preserve"> SUM( ED$4:ED25, -ED25 )</f>
        <v>0</v>
      </c>
      <c r="ED25" s="194">
        <v>0</v>
      </c>
      <c r="EE25" s="194">
        <f xml:space="preserve"> SUM( EF$4:EF25, -EF25 )</f>
        <v>0</v>
      </c>
      <c r="EF25" s="194">
        <v>0</v>
      </c>
      <c r="EG25" s="194">
        <f xml:space="preserve"> SUM( EH$4:EH25, -EH25 )</f>
        <v>0</v>
      </c>
      <c r="EH25" s="194">
        <v>0</v>
      </c>
      <c r="EI25" s="194">
        <f xml:space="preserve"> SUM( EJ$4:EJ25, -EJ25 )</f>
        <v>0</v>
      </c>
      <c r="EJ25" s="194">
        <v>0</v>
      </c>
      <c r="EK25" s="194">
        <f xml:space="preserve"> SUM( EL$4:EL25, -EL25 )</f>
        <v>0</v>
      </c>
      <c r="EL25" s="194">
        <f t="shared" si="73"/>
        <v>0</v>
      </c>
      <c r="EM25" s="194">
        <f xml:space="preserve"> SUM( EN$4:EN25, -EN25 )</f>
        <v>0</v>
      </c>
      <c r="EN25" s="194">
        <v>0</v>
      </c>
      <c r="EO25" s="194">
        <f xml:space="preserve"> SUM( EP$4:EP25, -EP25 )</f>
        <v>0</v>
      </c>
      <c r="EP25" s="194">
        <v>0</v>
      </c>
      <c r="EQ25" s="194">
        <f xml:space="preserve"> SUM( ER$4:ER25, -ER25 )</f>
        <v>0</v>
      </c>
      <c r="ER25" s="194">
        <v>0</v>
      </c>
      <c r="ES25" s="194">
        <f xml:space="preserve"> SUM( ET$4:ET25, -ET25 )</f>
        <v>0</v>
      </c>
      <c r="ET25" s="194">
        <v>0</v>
      </c>
      <c r="EU25" s="194">
        <f xml:space="preserve"> SUM( EV$4:EV25, -EV25 )</f>
        <v>0</v>
      </c>
      <c r="EV25" s="194">
        <v>0</v>
      </c>
      <c r="EW25" s="194">
        <f xml:space="preserve"> SUM( EX$4:EX25, -EX25 )</f>
        <v>0</v>
      </c>
      <c r="EX25" s="194">
        <v>0</v>
      </c>
      <c r="EZ25" t="str">
        <f t="shared" si="92"/>
        <v>External Craft</v>
      </c>
      <c r="FB25" s="237">
        <f xml:space="preserve"> SUM( FC$4:FC25, -FC25 )</f>
        <v>1</v>
      </c>
      <c r="FC25" s="237">
        <v>0</v>
      </c>
      <c r="FD25" s="237">
        <f xml:space="preserve"> SUM( FE$4:FE25, -FE25 )</f>
        <v>1</v>
      </c>
      <c r="FE25" s="237">
        <v>0</v>
      </c>
      <c r="FF25" t="str">
        <f t="shared" si="16"/>
        <v>External Craft</v>
      </c>
    </row>
    <row r="26" spans="1:162">
      <c r="A26" t="s">
        <v>893</v>
      </c>
      <c r="C26" s="115">
        <f xml:space="preserve"> MAX(  0,  G26*D26, ROUNDUP(  ( Hull+ExternalLoad ) * ( 1 / (1-G26*E26*FuelJumpPercent/95%) - 1 ),  0  )  )</f>
        <v>0</v>
      </c>
      <c r="D26" s="234">
        <v>0</v>
      </c>
      <c r="E26" s="220">
        <v>0</v>
      </c>
      <c r="F26" s="39"/>
      <c r="G26" s="20">
        <f xml:space="preserve"> 1 * OR( D26&gt;0, E26&gt;0 )</f>
        <v>0</v>
      </c>
      <c r="H26" s="28">
        <v>0</v>
      </c>
      <c r="I26" s="4"/>
      <c r="J26" s="21">
        <f xml:space="preserve"> AQ26</f>
        <v>0</v>
      </c>
      <c r="K26" s="51">
        <f>J26 * 1</f>
        <v>0</v>
      </c>
      <c r="L26" s="123">
        <f>J26*1 * BI26</f>
        <v>0</v>
      </c>
      <c r="M26" s="21"/>
      <c r="N26" s="48"/>
      <c r="O26" s="21"/>
      <c r="P26" t="s">
        <v>804</v>
      </c>
      <c r="R26" s="202">
        <f xml:space="preserve"> K2</f>
        <v>0</v>
      </c>
      <c r="S26" s="224"/>
      <c r="Z26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26" s="160" t="str">
        <f t="shared" si="103"/>
        <v/>
      </c>
      <c r="AB26" s="161" t="str">
        <f t="shared" si="74"/>
        <v>Drop Tanks (95% fuel)</v>
      </c>
      <c r="AC26" s="160" t="str">
        <f t="shared" si="1"/>
        <v xml:space="preserve">          </v>
      </c>
      <c r="AD26" s="160" t="str">
        <f t="shared" si="2"/>
        <v xml:space="preserve">           </v>
      </c>
      <c r="AE26" s="162" t="str">
        <f t="shared" ref="AE26:AE27" si="106" xml:space="preserve"> CONCATENATE( C26 )</f>
        <v>0</v>
      </c>
      <c r="AF26" s="160" t="str">
        <f t="shared" si="3"/>
        <v xml:space="preserve">            </v>
      </c>
      <c r="AG26" s="161" t="str">
        <f t="shared" si="104"/>
        <v/>
      </c>
      <c r="AH26" s="160" t="str">
        <f t="shared" si="53"/>
        <v xml:space="preserve">            </v>
      </c>
      <c r="AI26" s="163"/>
      <c r="AJ26" s="160" t="str">
        <f t="shared" si="5"/>
        <v xml:space="preserve">      </v>
      </c>
      <c r="AK26" s="163" t="str">
        <f t="shared" si="14"/>
        <v/>
      </c>
      <c r="AL26" s="163"/>
      <c r="AM26" s="153" t="str">
        <f t="shared" si="105"/>
        <v xml:space="preserve">  0  Hull </v>
      </c>
      <c r="AN26" s="153"/>
      <c r="AO26" s="153">
        <f xml:space="preserve"> G26 * ROUNDUP(IFERROR(K26/G26,0)/35,0) * (L26&gt;0)</f>
        <v>0</v>
      </c>
      <c r="AP26" s="153"/>
      <c r="AQ26">
        <f xml:space="preserve"> IF( AS26&lt;100, ROUNDUP( AS26/35, 0 ), ROUNDUP( 3*AS26/100, 0 ) )</f>
        <v>0</v>
      </c>
      <c r="AS26" s="235">
        <f>C26</f>
        <v>0</v>
      </c>
      <c r="BB26" s="103">
        <v>9</v>
      </c>
      <c r="BC26" s="98">
        <f t="shared" ref="BC26" si="107" xml:space="preserve"> MIN( $H26, TL - BB26)</f>
        <v>0</v>
      </c>
      <c r="BD26" t="s">
        <v>378</v>
      </c>
      <c r="BE26" s="149" t="str">
        <f>VLOOKUP( $BC26, Tables!$A$184:$H$193,  2 )</f>
        <v>Standard</v>
      </c>
      <c r="BF26" s="149" t="str">
        <f>VLOOKUP( $BC26, Tables!$A$184:$H$193,  3 )</f>
        <v>Std</v>
      </c>
      <c r="BG26" s="90">
        <f>VLOOKUP( $BC26, Tables!$A$184:$H$193, 4 )</f>
        <v>0</v>
      </c>
      <c r="BH26" s="149">
        <f>VLOOKUP( $BC26, Tables!$A$184:$H$193,  5 )</f>
        <v>1</v>
      </c>
      <c r="BI26" s="149">
        <f>VLOOKUP( $BC26, Tables!$A$184:$H$193, 6 )</f>
        <v>1</v>
      </c>
      <c r="BW26" s="205">
        <f xml:space="preserve"> MIN( BW29:BW35 )</f>
        <v>100</v>
      </c>
      <c r="CS26">
        <f xml:space="preserve"> MAX( CS30:CS34 )</f>
        <v>0</v>
      </c>
      <c r="CT26" s="209">
        <f t="shared" ref="CT26:CV26" si="108" xml:space="preserve"> MAX( CT29:CT35 )</f>
        <v>0.02</v>
      </c>
      <c r="CU26" s="209">
        <f t="shared" si="108"/>
        <v>0</v>
      </c>
      <c r="CV26" s="215">
        <f t="shared" si="108"/>
        <v>0.1</v>
      </c>
      <c r="CW26">
        <f xml:space="preserve"> MAX( 1, CW29:CW35 )</f>
        <v>1</v>
      </c>
      <c r="CX26">
        <f xml:space="preserve"> MAX( CX29:CX35 )</f>
        <v>2</v>
      </c>
      <c r="CY26">
        <f t="shared" ref="CY26:DJ26" si="109" xml:space="preserve"> MAX( CY29:CY35 )</f>
        <v>0</v>
      </c>
      <c r="CZ26">
        <f t="shared" si="109"/>
        <v>2</v>
      </c>
      <c r="DA26">
        <f t="shared" si="109"/>
        <v>2</v>
      </c>
      <c r="DB26">
        <f t="shared" si="109"/>
        <v>2</v>
      </c>
      <c r="DC26">
        <f t="shared" si="109"/>
        <v>2</v>
      </c>
      <c r="DD26">
        <f t="shared" si="109"/>
        <v>2</v>
      </c>
      <c r="DE26">
        <f xml:space="preserve"> 100 - 101*(MAX( DE29:DE35 )&gt;0)</f>
        <v>100</v>
      </c>
      <c r="DF26">
        <f t="shared" si="109"/>
        <v>2</v>
      </c>
      <c r="DH26">
        <f t="shared" si="109"/>
        <v>5</v>
      </c>
      <c r="DJ26">
        <f t="shared" si="109"/>
        <v>2</v>
      </c>
      <c r="DK26">
        <f t="shared" ref="DK26" si="110" xml:space="preserve"> MAX( DK29:DK35 )</f>
        <v>5</v>
      </c>
      <c r="DL26"/>
      <c r="DQ26" s="44"/>
      <c r="DW26" s="194">
        <f xml:space="preserve"> SUM( DX$4:DX26, -DX26 )</f>
        <v>0</v>
      </c>
      <c r="DX26" s="194">
        <v>0</v>
      </c>
      <c r="DY26" s="194">
        <f xml:space="preserve"> SUM( DZ$4:DZ26, -DZ26 )</f>
        <v>0</v>
      </c>
      <c r="DZ26" s="194">
        <v>0</v>
      </c>
      <c r="EA26" s="194">
        <f xml:space="preserve"> SUM( EB$4:EB26, -EB26 )</f>
        <v>0</v>
      </c>
      <c r="EB26" s="194">
        <v>0</v>
      </c>
      <c r="EC26" s="194">
        <f xml:space="preserve"> SUM( ED$4:ED26, -ED26 )</f>
        <v>0</v>
      </c>
      <c r="ED26" s="194">
        <v>0</v>
      </c>
      <c r="EE26" s="194">
        <f xml:space="preserve"> SUM( EF$4:EF26, -EF26 )</f>
        <v>0</v>
      </c>
      <c r="EF26" s="194">
        <v>0</v>
      </c>
      <c r="EG26" s="194">
        <f xml:space="preserve"> SUM( EH$4:EH26, -EH26 )</f>
        <v>0</v>
      </c>
      <c r="EH26" s="194">
        <v>0</v>
      </c>
      <c r="EI26" s="194">
        <f xml:space="preserve"> SUM( EJ$4:EJ26, -EJ26 )</f>
        <v>0</v>
      </c>
      <c r="EJ26" s="194">
        <v>0</v>
      </c>
      <c r="EK26" s="194">
        <f xml:space="preserve"> SUM( EL$4:EL26, -EL26 )</f>
        <v>0</v>
      </c>
      <c r="EL26" s="194">
        <f t="shared" si="73"/>
        <v>0</v>
      </c>
      <c r="EM26" s="194">
        <f xml:space="preserve"> SUM( EN$4:EN26, -EN26 )</f>
        <v>0</v>
      </c>
      <c r="EN26" s="194">
        <v>0</v>
      </c>
      <c r="EO26" s="194">
        <f xml:space="preserve"> SUM( EP$4:EP26, -EP26 )</f>
        <v>0</v>
      </c>
      <c r="EP26" s="194">
        <v>0</v>
      </c>
      <c r="EQ26" s="194">
        <f xml:space="preserve"> SUM( ER$4:ER26, -ER26 )</f>
        <v>0</v>
      </c>
      <c r="ER26" s="194">
        <v>0</v>
      </c>
      <c r="ES26" s="194">
        <f xml:space="preserve"> SUM( ET$4:ET26, -ET26 )</f>
        <v>0</v>
      </c>
      <c r="ET26" s="194">
        <v>0</v>
      </c>
      <c r="EU26" s="194">
        <f xml:space="preserve"> SUM( EV$4:EV26, -EV26 )</f>
        <v>0</v>
      </c>
      <c r="EV26" s="194">
        <v>0</v>
      </c>
      <c r="EW26" s="194">
        <f xml:space="preserve"> SUM( EX$4:EX26, -EX26 )</f>
        <v>0</v>
      </c>
      <c r="EX26" s="194">
        <v>0</v>
      </c>
      <c r="EZ26" t="str">
        <f t="shared" si="92"/>
        <v>Drop Tanks (95% fuel)</v>
      </c>
      <c r="FB26" s="237">
        <f xml:space="preserve"> SUM( FC$4:FC26, -FC26 )</f>
        <v>1</v>
      </c>
      <c r="FC26" s="237">
        <v>0</v>
      </c>
      <c r="FD26" s="237">
        <f xml:space="preserve"> SUM( FE$4:FE26, -FE26 )</f>
        <v>1</v>
      </c>
      <c r="FE26" s="237">
        <v>0</v>
      </c>
      <c r="FF26" t="str">
        <f t="shared" si="16"/>
        <v>Drop Tanks (95% fuel)</v>
      </c>
    </row>
    <row r="27" spans="1:162">
      <c r="A27" s="94" t="s">
        <v>958</v>
      </c>
      <c r="C27" s="115">
        <f>Hull+SUM(C23:C26)</f>
        <v>100</v>
      </c>
      <c r="D27" s="39"/>
      <c r="E27" s="39"/>
      <c r="F27" s="39"/>
      <c r="G27" s="21"/>
      <c r="H27" s="28"/>
      <c r="I27" s="4"/>
      <c r="J27" s="21"/>
      <c r="K27" s="51"/>
      <c r="L27" s="51"/>
      <c r="M27" s="21"/>
      <c r="N27" s="48"/>
      <c r="O27" s="21"/>
      <c r="Q27" s="113" t="s">
        <v>834</v>
      </c>
      <c r="R27" s="203">
        <f xml:space="preserve"> SUM( R23:R26 )</f>
        <v>0</v>
      </c>
      <c r="S27" s="225"/>
      <c r="T27" s="1" t="str">
        <f>AT1</f>
        <v>Agility ±0</v>
      </c>
      <c r="Z27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27" s="160" t="str">
        <f xml:space="preserve"> IF( OR(C27&lt;&gt;Hull,R27&lt;&gt;0), CONCATENATE( newline &amp; AB27 &amp; AC27 &amp; AD27 &amp; AE27 &amp; AF27 &amp; AG27 &amp; AH27 &amp; AI27 &amp; AJ27 &amp; AK27 &amp; "  " &amp; AM27 ), "" )</f>
        <v/>
      </c>
      <c r="AB27" s="161" t="str">
        <f xml:space="preserve"> CONCATENATE( A27 )</f>
        <v>Total Drive Capacity</v>
      </c>
      <c r="AC27" s="160" t="str">
        <f t="shared" si="1"/>
        <v xml:space="preserve">           </v>
      </c>
      <c r="AD27" s="160" t="str">
        <f t="shared" si="2"/>
        <v xml:space="preserve">         </v>
      </c>
      <c r="AE27" s="162" t="str">
        <f t="shared" si="106"/>
        <v>100</v>
      </c>
      <c r="AF27" s="160" t="str">
        <f t="shared" si="3"/>
        <v xml:space="preserve">            </v>
      </c>
      <c r="AG27" s="161" t="str">
        <f t="shared" si="104"/>
        <v/>
      </c>
      <c r="AH27" s="160" t="str">
        <f t="shared" si="53"/>
        <v xml:space="preserve">            </v>
      </c>
      <c r="AI27" s="163"/>
      <c r="AJ27" s="160" t="str">
        <f t="shared" si="5"/>
        <v xml:space="preserve">      </v>
      </c>
      <c r="AK27" s="163" t="str">
        <f t="shared" si="14"/>
        <v/>
      </c>
      <c r="AL27" s="163"/>
      <c r="AM27" s="153" t="str">
        <f xml:space="preserve"> CONCATENATE( IF(ABS(R27)&lt;10," ","") &amp; IF(R27&gt;=0," ","") &amp; R27 &amp; "  " &amp; Q27 &amp; " " &amp; T27 )</f>
        <v xml:space="preserve">  0  Over/undertonnage: Agility ±0</v>
      </c>
      <c r="AN27" s="153"/>
      <c r="AO27" s="153"/>
      <c r="AP27" s="153"/>
      <c r="DL27"/>
      <c r="DQ27" s="44"/>
      <c r="DW27" s="194">
        <f xml:space="preserve"> SUM( DX$4:DX27, -DX27 )</f>
        <v>0</v>
      </c>
      <c r="DX27" s="194">
        <v>0</v>
      </c>
      <c r="DY27" s="194">
        <f xml:space="preserve"> SUM( DZ$4:DZ27, -DZ27 )</f>
        <v>0</v>
      </c>
      <c r="DZ27" s="194">
        <v>0</v>
      </c>
      <c r="EA27" s="194">
        <f xml:space="preserve"> SUM( EB$4:EB27, -EB27 )</f>
        <v>0</v>
      </c>
      <c r="EB27" s="194">
        <v>0</v>
      </c>
      <c r="EC27" s="194">
        <f xml:space="preserve"> SUM( ED$4:ED27, -ED27 )</f>
        <v>0</v>
      </c>
      <c r="ED27" s="194">
        <v>0</v>
      </c>
      <c r="EE27" s="194">
        <f xml:space="preserve"> SUM( EF$4:EF27, -EF27 )</f>
        <v>0</v>
      </c>
      <c r="EF27" s="194">
        <v>0</v>
      </c>
      <c r="EG27" s="194">
        <f xml:space="preserve"> SUM( EH$4:EH27, -EH27 )</f>
        <v>0</v>
      </c>
      <c r="EH27" s="194">
        <v>0</v>
      </c>
      <c r="EI27" s="194">
        <f xml:space="preserve"> SUM( EJ$4:EJ27, -EJ27 )</f>
        <v>0</v>
      </c>
      <c r="EJ27" s="194">
        <v>0</v>
      </c>
      <c r="EK27" s="194">
        <f xml:space="preserve"> SUM( EL$4:EL27, -EL27 )</f>
        <v>0</v>
      </c>
      <c r="EL27" s="194">
        <f t="shared" si="73"/>
        <v>0</v>
      </c>
      <c r="EM27" s="194">
        <f xml:space="preserve"> SUM( EN$4:EN27, -EN27 )</f>
        <v>0</v>
      </c>
      <c r="EN27" s="194">
        <v>0</v>
      </c>
      <c r="EO27" s="194">
        <f xml:space="preserve"> SUM( EP$4:EP27, -EP27 )</f>
        <v>0</v>
      </c>
      <c r="EP27" s="194">
        <v>0</v>
      </c>
      <c r="EQ27" s="194">
        <f xml:space="preserve"> SUM( ER$4:ER27, -ER27 )</f>
        <v>0</v>
      </c>
      <c r="ER27" s="194">
        <v>0</v>
      </c>
      <c r="ES27" s="194">
        <f xml:space="preserve"> SUM( ET$4:ET27, -ET27 )</f>
        <v>0</v>
      </c>
      <c r="ET27" s="194">
        <v>0</v>
      </c>
      <c r="EU27" s="194">
        <f xml:space="preserve"> SUM( EV$4:EV27, -EV27 )</f>
        <v>0</v>
      </c>
      <c r="EV27" s="194">
        <v>0</v>
      </c>
      <c r="EW27" s="194">
        <f xml:space="preserve"> SUM( EX$4:EX27, -EX27 )</f>
        <v>0</v>
      </c>
      <c r="EX27" s="194">
        <v>0</v>
      </c>
      <c r="EZ27" t="str">
        <f t="shared" si="92"/>
        <v>Total Drive Capacity</v>
      </c>
      <c r="FB27" s="237">
        <f xml:space="preserve"> SUM( FC$4:FC27, -FC27 )</f>
        <v>1</v>
      </c>
      <c r="FC27" s="237">
        <v>0</v>
      </c>
      <c r="FD27" s="237">
        <f xml:space="preserve"> SUM( FE$4:FE27, -FE27 )</f>
        <v>1</v>
      </c>
      <c r="FE27" s="237">
        <v>0</v>
      </c>
      <c r="FF27" t="str">
        <f t="shared" si="16"/>
        <v>Total Drive Capacity</v>
      </c>
    </row>
    <row r="28" spans="1:162">
      <c r="C28" s="15"/>
      <c r="D28" s="15"/>
      <c r="E28" s="66"/>
      <c r="F28" s="66"/>
      <c r="G28" s="21"/>
      <c r="H28" s="28"/>
      <c r="I28" s="4"/>
      <c r="J28" s="21"/>
      <c r="K28" s="51"/>
      <c r="L28" s="51"/>
      <c r="M28" s="21"/>
      <c r="N28" s="48"/>
      <c r="O28" s="21"/>
      <c r="S28" s="223"/>
      <c r="Z28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                                                                         </v>
      </c>
      <c r="AA28" s="160" t="str">
        <f xml:space="preserve"> IF( OR(C27&lt;&gt;Hull, R27&lt;&gt;0), CONCATENATE( newline &amp; AB28 &amp; AC28 &amp; AD28 &amp; AE28 &amp; AF28 &amp; AG28 &amp; AH28 &amp; AI28 &amp; AJ28 &amp; AK28 ), "" )</f>
        <v/>
      </c>
      <c r="AB28" s="161" t="str">
        <f t="shared" si="74"/>
        <v/>
      </c>
      <c r="AC28" s="160" t="str">
        <f t="shared" si="1"/>
        <v xml:space="preserve">                               </v>
      </c>
      <c r="AD28" s="160" t="str">
        <f t="shared" si="2"/>
        <v xml:space="preserve">            </v>
      </c>
      <c r="AE28" s="162" t="str">
        <f t="shared" si="63"/>
        <v/>
      </c>
      <c r="AF28" s="160" t="str">
        <f t="shared" si="3"/>
        <v xml:space="preserve">            </v>
      </c>
      <c r="AG28" s="161" t="str">
        <f t="shared" si="64"/>
        <v/>
      </c>
      <c r="AH28" s="160" t="str">
        <f t="shared" si="53"/>
        <v xml:space="preserve">            </v>
      </c>
      <c r="AI28" s="163" t="str">
        <f t="shared" si="65"/>
        <v/>
      </c>
      <c r="AJ28" s="160" t="str">
        <f t="shared" si="5"/>
        <v xml:space="preserve">      </v>
      </c>
      <c r="AK28" s="163" t="str">
        <f t="shared" si="14"/>
        <v/>
      </c>
      <c r="AL28" s="163"/>
      <c r="AM28" s="153"/>
      <c r="AN28" s="153"/>
      <c r="AO28" s="153"/>
      <c r="AP28" s="153"/>
      <c r="BF28" s="1"/>
      <c r="BG28" s="1"/>
      <c r="BH28" s="1"/>
      <c r="BI28" s="1"/>
      <c r="BJ28" s="1"/>
      <c r="BK28" s="1"/>
      <c r="BL28" s="1"/>
      <c r="BM28" s="1"/>
      <c r="BN28" s="1"/>
      <c r="BU28" s="1" t="s">
        <v>601</v>
      </c>
      <c r="BW28" s="1" t="s">
        <v>236</v>
      </c>
      <c r="BZ28" s="1" t="s">
        <v>886</v>
      </c>
      <c r="CA28" s="1" t="s">
        <v>801</v>
      </c>
      <c r="CB28" s="1" t="s">
        <v>225</v>
      </c>
      <c r="CC28" t="str">
        <f>"x + B"</f>
        <v>x + B</v>
      </c>
      <c r="CD28" s="1" t="s">
        <v>399</v>
      </c>
      <c r="CE28" s="1" t="s">
        <v>274</v>
      </c>
      <c r="CF28" s="1" t="s">
        <v>506</v>
      </c>
      <c r="CG28" s="1" t="s">
        <v>770</v>
      </c>
      <c r="CH28" s="1" t="s">
        <v>760</v>
      </c>
      <c r="CI28" s="1" t="s">
        <v>792</v>
      </c>
      <c r="CJ28" s="1" t="s">
        <v>76</v>
      </c>
      <c r="CK28" s="1" t="s">
        <v>670</v>
      </c>
      <c r="CL28" s="66" t="s">
        <v>263</v>
      </c>
      <c r="CM28" s="66" t="s">
        <v>1099</v>
      </c>
      <c r="CN28" s="1" t="s">
        <v>719</v>
      </c>
      <c r="CO28" s="1" t="s">
        <v>684</v>
      </c>
      <c r="CP28" s="66" t="s">
        <v>394</v>
      </c>
      <c r="CQ28" s="66" t="s">
        <v>365</v>
      </c>
      <c r="CS28" s="1" t="s">
        <v>661</v>
      </c>
      <c r="CT28" s="1" t="s">
        <v>770</v>
      </c>
      <c r="CU28" s="1" t="s">
        <v>760</v>
      </c>
      <c r="CV28" s="1" t="s">
        <v>792</v>
      </c>
      <c r="CW28" s="1" t="s">
        <v>76</v>
      </c>
      <c r="CX28" s="1" t="s">
        <v>670</v>
      </c>
      <c r="CY28" s="66" t="s">
        <v>263</v>
      </c>
      <c r="CZ28" s="66" t="s">
        <v>1099</v>
      </c>
      <c r="DA28" s="1" t="s">
        <v>719</v>
      </c>
      <c r="DB28" s="1" t="s">
        <v>684</v>
      </c>
      <c r="DC28" s="66" t="s">
        <v>394</v>
      </c>
      <c r="DD28" s="66" t="s">
        <v>365</v>
      </c>
      <c r="DE28" s="216" t="s">
        <v>700</v>
      </c>
      <c r="DF28" s="1" t="s">
        <v>415</v>
      </c>
      <c r="DG28" s="1" t="s">
        <v>571</v>
      </c>
      <c r="DH28" s="1" t="s">
        <v>860</v>
      </c>
      <c r="DI28" s="1" t="s">
        <v>862</v>
      </c>
      <c r="DJ28" s="1" t="s">
        <v>880</v>
      </c>
      <c r="DK28" s="1" t="s">
        <v>860</v>
      </c>
      <c r="DL28"/>
      <c r="DQ28" s="44"/>
      <c r="DW28" s="194">
        <f xml:space="preserve"> SUM( DX$4:DX28, -DX28 )</f>
        <v>0</v>
      </c>
      <c r="DX28" s="194">
        <v>0</v>
      </c>
      <c r="DY28" s="194">
        <f xml:space="preserve"> SUM( DZ$4:DZ28, -DZ28 )</f>
        <v>0</v>
      </c>
      <c r="DZ28" s="194">
        <v>0</v>
      </c>
      <c r="EA28" s="194">
        <f xml:space="preserve"> SUM( EB$4:EB28, -EB28 )</f>
        <v>0</v>
      </c>
      <c r="EB28" s="194">
        <v>0</v>
      </c>
      <c r="EC28" s="194">
        <f xml:space="preserve"> SUM( ED$4:ED28, -ED28 )</f>
        <v>0</v>
      </c>
      <c r="ED28" s="194">
        <v>0</v>
      </c>
      <c r="EE28" s="194">
        <f xml:space="preserve"> SUM( EF$4:EF28, -EF28 )</f>
        <v>0</v>
      </c>
      <c r="EF28" s="194">
        <v>0</v>
      </c>
      <c r="EG28" s="194">
        <f xml:space="preserve"> SUM( EH$4:EH28, -EH28 )</f>
        <v>0</v>
      </c>
      <c r="EH28" s="194">
        <v>0</v>
      </c>
      <c r="EI28" s="194">
        <f xml:space="preserve"> SUM( EJ$4:EJ28, -EJ28 )</f>
        <v>0</v>
      </c>
      <c r="EJ28" s="194">
        <v>0</v>
      </c>
      <c r="EK28" s="194">
        <f xml:space="preserve"> SUM( EL$4:EL28, -EL28 )</f>
        <v>0</v>
      </c>
      <c r="EL28" s="194">
        <v>0</v>
      </c>
      <c r="EM28" s="194">
        <f xml:space="preserve"> SUM( EN$4:EN28, -EN28 )</f>
        <v>0</v>
      </c>
      <c r="EN28" s="194">
        <v>0</v>
      </c>
      <c r="EO28" s="194">
        <f xml:space="preserve"> SUM( EP$4:EP28, -EP28 )</f>
        <v>0</v>
      </c>
      <c r="EP28" s="194">
        <v>0</v>
      </c>
      <c r="EQ28" s="194">
        <f xml:space="preserve"> SUM( ER$4:ER28, -ER28 )</f>
        <v>0</v>
      </c>
      <c r="ER28" s="194">
        <v>0</v>
      </c>
      <c r="ES28" s="194">
        <f xml:space="preserve"> SUM( ET$4:ET28, -ET28 )</f>
        <v>0</v>
      </c>
      <c r="ET28" s="194">
        <v>0</v>
      </c>
      <c r="EU28" s="194">
        <f xml:space="preserve"> SUM( EV$4:EV28, -EV28 )</f>
        <v>0</v>
      </c>
      <c r="EV28" s="194">
        <v>0</v>
      </c>
      <c r="EW28" s="194">
        <f xml:space="preserve"> SUM( EX$4:EX28, -EX28 )</f>
        <v>0</v>
      </c>
      <c r="EX28" s="194">
        <v>0</v>
      </c>
      <c r="EZ28">
        <f t="shared" si="92"/>
        <v>0</v>
      </c>
      <c r="FB28" s="237">
        <f xml:space="preserve"> SUM( FC$4:FC28, -FC28 )</f>
        <v>1</v>
      </c>
      <c r="FC28" s="237">
        <v>0</v>
      </c>
      <c r="FD28" s="237">
        <f xml:space="preserve"> SUM( FE$4:FE28, -FE28 )</f>
        <v>1</v>
      </c>
      <c r="FE28" s="237">
        <v>0</v>
      </c>
      <c r="FF28">
        <f t="shared" si="16"/>
        <v>0</v>
      </c>
    </row>
    <row r="29" spans="1:162">
      <c r="A29" t="s">
        <v>214</v>
      </c>
      <c r="C29" s="66" t="str">
        <f xml:space="preserve"> AS29</f>
        <v>Jump Bubble</v>
      </c>
      <c r="D29" s="183">
        <f xml:space="preserve"> ROUNDUP( AU29 / AZ30, 0 )</f>
        <v>100</v>
      </c>
      <c r="E29" s="66" t="s">
        <v>567</v>
      </c>
      <c r="F29" s="66"/>
      <c r="G29" s="244">
        <v>2</v>
      </c>
      <c r="H29" s="86"/>
      <c r="I29" s="243">
        <f xml:space="preserve"> MIN( $DE$26, G29, 2-1*(JumpN&gt;0) )</f>
        <v>1</v>
      </c>
      <c r="J29" s="48"/>
      <c r="K29" s="80"/>
      <c r="L29" s="80">
        <f xml:space="preserve"> Hull * AT29</f>
        <v>0</v>
      </c>
      <c r="M29" s="48"/>
      <c r="N29" s="48"/>
      <c r="O29" s="48"/>
      <c r="Q29" s="184">
        <f xml:space="preserve"> IF( AND(JumpN&gt;0,C29=Tables!$B$331), 20 * (Hull*13.5)^(1/3), 0 )</f>
        <v>221.04188991842318</v>
      </c>
      <c r="R29" s="242">
        <f xml:space="preserve"> IF( JumpN&gt;0, 6 + 1*(Hull&gt;=100) + 1*(Hull&gt;=2450) + 1*(Hull&gt;=100000) + 1*(JumpGrid&lt;1), 0 )</f>
        <v>7</v>
      </c>
      <c r="S29" s="223"/>
      <c r="Z29" s="160" t="str">
        <f t="shared" si="0"/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</v>
      </c>
      <c r="AA29" s="160" t="str">
        <f xml:space="preserve"> IF( OR(JumpGrid&lt;2), CONCATENATE( newline &amp; AB29 &amp; AC29 &amp; AD29 &amp; AE29 &amp; AF29 &amp; AG29 &amp; AH29 &amp; AI29 &amp; AJ29 &amp; AK29 &amp; "  " &amp; AM29 ), "" )</f>
        <v xml:space="preserve">
Jump Field: Jump Bubble                                           0        D=221 m, Flash 7</v>
      </c>
      <c r="AB29" s="161" t="str">
        <f xml:space="preserve"> CONCATENATE( A29 &amp; ": " &amp; C29 )</f>
        <v>Jump Field: Jump Bubble</v>
      </c>
      <c r="AC29" s="160" t="str">
        <f t="shared" si="1"/>
        <v xml:space="preserve">        </v>
      </c>
      <c r="AD29" s="160" t="str">
        <f t="shared" si="2"/>
        <v xml:space="preserve">            </v>
      </c>
      <c r="AE29" s="162" t="str">
        <f t="shared" si="63"/>
        <v/>
      </c>
      <c r="AF29" s="160" t="str">
        <f t="shared" si="3"/>
        <v xml:space="preserve">            </v>
      </c>
      <c r="AG29" s="161" t="str">
        <f t="shared" si="64"/>
        <v/>
      </c>
      <c r="AH29" s="160" t="str">
        <f t="shared" si="53"/>
        <v xml:space="preserve">           </v>
      </c>
      <c r="AI29" s="163" t="str">
        <f t="shared" si="65"/>
        <v>0</v>
      </c>
      <c r="AJ29" s="160" t="str">
        <f t="shared" si="5"/>
        <v xml:space="preserve">      </v>
      </c>
      <c r="AK29" s="163" t="str">
        <f t="shared" si="14"/>
        <v/>
      </c>
      <c r="AL29" s="163"/>
      <c r="AM29" s="153" t="str">
        <f xml:space="preserve"> CONCATENATE( IF(Q29&gt;0,CONCATENATE("D="&amp;ROUND(Q29,0)&amp;" m"),"") &amp; IF(AND(Q29&gt;0,R29&gt;0),", ","") &amp; IF(R29&gt;0,CONCATENATE("Flash "&amp;R29),"") )</f>
        <v>D=221 m, Flash 7</v>
      </c>
      <c r="AN29" s="153"/>
      <c r="AO29" s="153"/>
      <c r="AP29" s="153"/>
      <c r="AS29" t="str">
        <f xml:space="preserve"> VLOOKUP( JumpGrid, Tables!$A$329:$G$332, 2 )</f>
        <v>Jump Bubble</v>
      </c>
      <c r="AT29">
        <f xml:space="preserve"> VLOOKUP( JumpGrid, Tables!$A$329:$G$332, 3 )</f>
        <v>0</v>
      </c>
      <c r="AU29">
        <f xml:space="preserve"> VLOOKUP( JumpGrid, Tables!$A$329:$G$332, 4 )</f>
        <v>100</v>
      </c>
      <c r="AV29">
        <f xml:space="preserve"> VLOOKUP( JumpGrid, Tables!$A$329:$G$332, 5 )</f>
        <v>0</v>
      </c>
      <c r="AW29">
        <f xml:space="preserve"> VLOOKUP( JumpGrid, Tables!$A$329:$G$332, 6 )</f>
        <v>0</v>
      </c>
      <c r="AX29">
        <f xml:space="preserve"> VLOOKUP( JumpGrid, Tables!$A$329:$G$332, 7 )</f>
        <v>1</v>
      </c>
      <c r="BE29" t="s">
        <v>121</v>
      </c>
      <c r="BF29" s="1"/>
      <c r="BG29" s="1"/>
      <c r="BH29" s="128" t="s">
        <v>213</v>
      </c>
      <c r="BI29" s="128" t="s">
        <v>324</v>
      </c>
      <c r="BJ29" s="128" t="s">
        <v>325</v>
      </c>
      <c r="BK29" s="128" t="s">
        <v>326</v>
      </c>
      <c r="BL29" s="128" t="s">
        <v>106</v>
      </c>
      <c r="BM29" s="128" t="s">
        <v>1030</v>
      </c>
      <c r="BN29" s="1" t="s">
        <v>1008</v>
      </c>
      <c r="BQ29" s="1" t="s">
        <v>645</v>
      </c>
      <c r="BS29" t="s">
        <v>605</v>
      </c>
      <c r="BZ29" s="113">
        <v>2</v>
      </c>
      <c r="CA29" s="113">
        <f t="shared" ref="CA29:CD29" si="111">BZ29+1</f>
        <v>3</v>
      </c>
      <c r="CB29" s="113">
        <f t="shared" si="111"/>
        <v>4</v>
      </c>
      <c r="CC29" s="113">
        <f t="shared" si="111"/>
        <v>5</v>
      </c>
      <c r="CD29" s="113">
        <f t="shared" si="111"/>
        <v>6</v>
      </c>
      <c r="CE29" s="113">
        <f t="shared" ref="CE29:CQ29" si="112">CD29+1</f>
        <v>7</v>
      </c>
      <c r="CF29" s="113">
        <f t="shared" si="112"/>
        <v>8</v>
      </c>
      <c r="CG29" s="113">
        <f t="shared" si="112"/>
        <v>9</v>
      </c>
      <c r="CH29" s="113">
        <f t="shared" si="112"/>
        <v>10</v>
      </c>
      <c r="CI29" s="113">
        <f t="shared" si="112"/>
        <v>11</v>
      </c>
      <c r="CJ29" s="113">
        <f t="shared" si="112"/>
        <v>12</v>
      </c>
      <c r="CK29" s="113">
        <f t="shared" si="112"/>
        <v>13</v>
      </c>
      <c r="CL29" s="113">
        <f t="shared" si="112"/>
        <v>14</v>
      </c>
      <c r="CM29" s="113">
        <f t="shared" si="112"/>
        <v>15</v>
      </c>
      <c r="CN29" s="113">
        <f t="shared" si="112"/>
        <v>16</v>
      </c>
      <c r="CO29" s="113">
        <f t="shared" si="112"/>
        <v>17</v>
      </c>
      <c r="CP29" s="113">
        <f t="shared" si="112"/>
        <v>18</v>
      </c>
      <c r="CQ29" s="113">
        <f t="shared" si="112"/>
        <v>19</v>
      </c>
      <c r="CR29" s="1"/>
      <c r="CS29" s="1"/>
      <c r="CT29" s="1"/>
      <c r="CU29" s="1"/>
      <c r="DL29"/>
      <c r="DQ29" s="44"/>
      <c r="DW29" s="194">
        <f xml:space="preserve"> SUM( DX$4:DX29, -DX29 )</f>
        <v>0</v>
      </c>
      <c r="DX29" s="194">
        <v>0</v>
      </c>
      <c r="DY29" s="194">
        <f xml:space="preserve"> SUM( DZ$4:DZ29, -DZ29 )</f>
        <v>0</v>
      </c>
      <c r="DZ29" s="194">
        <v>0</v>
      </c>
      <c r="EA29" s="194">
        <f xml:space="preserve"> SUM( EB$4:EB29, -EB29 )</f>
        <v>0</v>
      </c>
      <c r="EB29" s="194">
        <v>0</v>
      </c>
      <c r="EC29" s="194">
        <f xml:space="preserve"> SUM( ED$4:ED29, -ED29 )</f>
        <v>0</v>
      </c>
      <c r="ED29" s="194">
        <v>0</v>
      </c>
      <c r="EE29" s="194">
        <f xml:space="preserve"> SUM( EF$4:EF29, -EF29 )</f>
        <v>0</v>
      </c>
      <c r="EF29" s="194">
        <v>0</v>
      </c>
      <c r="EG29" s="194">
        <f xml:space="preserve"> SUM( EH$4:EH29, -EH29 )</f>
        <v>0</v>
      </c>
      <c r="EH29" s="194">
        <v>0</v>
      </c>
      <c r="EI29" s="194">
        <f xml:space="preserve"> SUM( EJ$4:EJ29, -EJ29 )</f>
        <v>0</v>
      </c>
      <c r="EJ29" s="194">
        <v>0</v>
      </c>
      <c r="EK29" s="194">
        <f xml:space="preserve"> SUM( EL$4:EL29, -EL29 )</f>
        <v>0</v>
      </c>
      <c r="EL29" s="194">
        <v>0</v>
      </c>
      <c r="EM29" s="194">
        <f xml:space="preserve"> SUM( EN$4:EN29, -EN29 )</f>
        <v>0</v>
      </c>
      <c r="EN29" s="194">
        <v>0</v>
      </c>
      <c r="EO29" s="194">
        <f xml:space="preserve"> SUM( EP$4:EP29, -EP29 )</f>
        <v>0</v>
      </c>
      <c r="EP29" s="194">
        <v>0</v>
      </c>
      <c r="EQ29" s="194">
        <f xml:space="preserve"> SUM( ER$4:ER29, -ER29 )</f>
        <v>0</v>
      </c>
      <c r="ER29" s="194">
        <v>0</v>
      </c>
      <c r="ES29" s="194">
        <f xml:space="preserve"> SUM( ET$4:ET29, -ET29 )</f>
        <v>0</v>
      </c>
      <c r="ET29" s="194">
        <v>0</v>
      </c>
      <c r="EU29" s="194">
        <f xml:space="preserve"> SUM( EV$4:EV29, -EV29 )</f>
        <v>0</v>
      </c>
      <c r="EV29" s="194">
        <v>0</v>
      </c>
      <c r="EW29" s="194">
        <f xml:space="preserve"> SUM( EX$4:EX29, -EX29 )</f>
        <v>0</v>
      </c>
      <c r="EX29" s="194">
        <v>0</v>
      </c>
      <c r="EZ29" t="str">
        <f t="shared" si="92"/>
        <v>Jump Field</v>
      </c>
      <c r="FB29" s="237">
        <f xml:space="preserve"> SUM( FC$4:FC29, -FC29 )</f>
        <v>1</v>
      </c>
      <c r="FC29" s="237">
        <v>0</v>
      </c>
      <c r="FD29" s="237">
        <f xml:space="preserve"> SUM( FE$4:FE29, -FE29 )</f>
        <v>1</v>
      </c>
      <c r="FE29" s="237">
        <v>0</v>
      </c>
      <c r="FF29" t="str">
        <f t="shared" si="16"/>
        <v>Jump Field</v>
      </c>
    </row>
    <row r="30" spans="1:162">
      <c r="A30" s="16" t="s">
        <v>614</v>
      </c>
      <c r="B30" s="8" t="str">
        <f>AV30</f>
        <v>Std</v>
      </c>
      <c r="C30" s="256" t="str">
        <f t="shared" ref="C30" si="113" xml:space="preserve"> IF(   AND(I30&gt;0,K30&gt;0),   CONCATENATE( BZ30, " Drive ", IF(BI30&gt;1,BI30,""), IF(  AND( DriveFormula&gt;0,OR(INT(D30/100)*100&lt;&gt;D30,D30&gt;2400) ), "Custom", BN30), IF(BJ30&gt;1,BJ30,"")  ),   ""   )</f>
        <v>J Drive A</v>
      </c>
      <c r="D30" s="233">
        <f xml:space="preserve">  ROUND( BI30*BJ30*BU30, 0 )</f>
        <v>100</v>
      </c>
      <c r="E30" s="105">
        <v>0</v>
      </c>
      <c r="F30" s="105">
        <v>0</v>
      </c>
      <c r="G30" s="217">
        <f xml:space="preserve"> IFERROR(Simple!C31,2)*(Hull&gt;=100)</f>
        <v>2</v>
      </c>
      <c r="H30" s="221">
        <f xml:space="preserve"> IF(  AND(A30=Tables!$A$197,IFERROR(Simple!$P$31,0)&lt;0),  IFERROR(Simple!$P$31,0),  2*(MAX($G$30:$G$34)&gt;2) + 2*(MAX($G$30:$G$34)&gt;4) + 2*(ExternalLoad&gt;0) + 4*(Military&gt;1)  )</f>
        <v>0</v>
      </c>
      <c r="I30" s="13">
        <f t="shared" ref="I30:I31" si="114" xml:space="preserve"> ROUNDDOWN(   MAX( 0,  MIN( ROUNDDOWN(G30,0), BD30, IF(CM30&gt;0,MaxJumpPower,MIN(IF(CK30&gt;0,MaxManPower,99),HullMaxG)) ) ) * IF( DriveFormula&lt;0, AZ30, 1 ),   0   )</f>
        <v>2</v>
      </c>
      <c r="J30" s="86">
        <f>1*(I30&gt;0)</f>
        <v>1</v>
      </c>
      <c r="K30" s="194">
        <f xml:space="preserve"> ROUND( J30 * BI30 * BJ30 * MAX( CD30, IF( DriveFormula&gt;0, BS30, BQ30 ) * AX30 ), 2 )</f>
        <v>10</v>
      </c>
      <c r="L30" s="51">
        <f xml:space="preserve"> K30 * CE30 * AY30 * ( 1 + 0.1*($S30=TL+1) )</f>
        <v>10</v>
      </c>
      <c r="M30" s="48"/>
      <c r="N30" s="48"/>
      <c r="O30" s="48">
        <f>K30/35</f>
        <v>0.2857142857142857</v>
      </c>
      <c r="P30" s="49"/>
      <c r="Q30" s="213" t="str">
        <f xml:space="preserve"> IF( DI30, "Not enough power", "" )</f>
        <v/>
      </c>
      <c r="R30" t="str">
        <f xml:space="preserve"> IF( I30&lt;ROUNDDOWN(G30,0), CONCATENATE( "Lim by " &amp; IF( I30=BD30, "TL ", "" ) &amp; IF( AND(DriveFormula&lt;0, AZ30&lt;100%), "Stage ", "" ) &amp; IF( AND(CM30&gt;0,I30=MaxJumpPower), "Power ", "" ) &amp; IF( AND(CM30&lt;=0,I30=MaxManPower), "Power ", "" ) &amp; IF( AND(CM30&lt;=0,I30=HullMaxG), "Hull G limit ", "" ) ), "" )</f>
        <v/>
      </c>
      <c r="S30" s="223">
        <f t="shared" ref="S30:S34" si="115" xml:space="preserve"> TL</f>
        <v>12</v>
      </c>
      <c r="T30" t="str">
        <f ca="1" xml:space="preserve"> IF( K30&gt;0, CONCATENATE( DQ30, DR30, DS30, DT30, DU30 ), "" )</f>
        <v>2 3 1 1 1</v>
      </c>
      <c r="Z30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</v>
      </c>
      <c r="AA30" s="160" t="str">
        <f xml:space="preserve"> IF( OR(J30&lt;&gt;0,K30&lt;&gt;0,L30&lt;&gt;0), CONCATENATE( newline &amp; AB30 &amp; AC30 &amp; AD30 &amp; AE30 &amp; AF30 &amp; AG30 &amp; AH30 &amp; AI30 &amp; AJ30 &amp; AK30 ), "" )</f>
        <v xml:space="preserve">
J Drive A      J-2, 100 EP                1          10          10      </v>
      </c>
      <c r="AB30" s="161" t="str">
        <f xml:space="preserve"> CONCATENATE( IF(B30&lt;&gt;"Std",CONCATENATE(B30&amp;" "&amp;C30),CONCATENATE(C30&amp;"    ")) &amp; "  " &amp; IF(CM30&gt;0,CONCATENATE(BZ30&amp;"-"&amp;I30),CONCATENATE(I30&amp;" G")) &amp; ", " &amp; D30 &amp; " EP" )</f>
        <v>J Drive A      J-2, 100 EP</v>
      </c>
      <c r="AC30" s="160" t="str">
        <f t="shared" si="1"/>
        <v xml:space="preserve">     </v>
      </c>
      <c r="AD30" s="160" t="str">
        <f t="shared" si="2"/>
        <v xml:space="preserve">           </v>
      </c>
      <c r="AE30" s="162" t="str">
        <f t="shared" si="63"/>
        <v>1</v>
      </c>
      <c r="AF30" s="160" t="str">
        <f t="shared" si="3"/>
        <v xml:space="preserve">          </v>
      </c>
      <c r="AG30" s="161" t="str">
        <f t="shared" si="64"/>
        <v>10</v>
      </c>
      <c r="AH30" s="160" t="str">
        <f t="shared" si="53"/>
        <v xml:space="preserve">          </v>
      </c>
      <c r="AI30" s="163" t="str">
        <f t="shared" si="65"/>
        <v>10</v>
      </c>
      <c r="AJ30" s="160" t="str">
        <f t="shared" si="5"/>
        <v xml:space="preserve">      </v>
      </c>
      <c r="AK30" s="163" t="str">
        <f t="shared" si="14"/>
        <v/>
      </c>
      <c r="AL30" s="163"/>
      <c r="AM30" s="153"/>
      <c r="AN30" s="153"/>
      <c r="AO30" s="153">
        <f xml:space="preserve"> J30 * ROUNDUP(IFERROR(K30/J30,0)/35,0) * (L30&gt;0)</f>
        <v>1</v>
      </c>
      <c r="AP30" s="194"/>
      <c r="AQ30" s="46" t="s">
        <v>1016</v>
      </c>
      <c r="AR30" s="46">
        <f xml:space="preserve"> IF(  DriveFormula&lt;0, ROUNDUP( I30/AZ30,0)*DriveCapacity/2,  I30*DriveCapacity/2/AZ30  )</f>
        <v>100</v>
      </c>
      <c r="AS30" s="98">
        <f t="shared" ref="AS30" si="116" xml:space="preserve"> MIN( MAX( IF(H30&gt;0,-3,H30), $S30-BG30), IF(H30=0,0,IF(H30&lt;=-1,4,H30)), 4 )</f>
        <v>0</v>
      </c>
      <c r="AT30" t="s">
        <v>378</v>
      </c>
      <c r="AU30" s="7" t="str">
        <f>VLOOKUP( $AS30, Tables!$A$184:$H$193,  2 )</f>
        <v>Standard</v>
      </c>
      <c r="AV30" s="8" t="str">
        <f>VLOOKUP( $AS30, Tables!$A$184:$H$193,  3 )</f>
        <v>Std</v>
      </c>
      <c r="AW30" s="52">
        <f>VLOOKUP( $AS30, Tables!$A$184:$H$193, 4 )</f>
        <v>0</v>
      </c>
      <c r="AX30" s="8">
        <f>VLOOKUP( $AS30, Tables!$A$184:$S$193, 18 )</f>
        <v>1</v>
      </c>
      <c r="AY30" s="8">
        <f>VLOOKUP( $AS30, Tables!$A$184:$S$193, 19 )</f>
        <v>1</v>
      </c>
      <c r="AZ30" s="8">
        <f>VLOOKUP( $AS30, Tables!$A$184:$H$193, 7 )</f>
        <v>1</v>
      </c>
      <c r="BA30" s="8">
        <f>VLOOKUP( $AS30, Tables!$A$184:$H$193, 8 )</f>
        <v>1</v>
      </c>
      <c r="BB30" s="18"/>
      <c r="BC30" t="s">
        <v>279</v>
      </c>
      <c r="BD30">
        <f xml:space="preserve"> VLOOKUP( $S30-(H30&lt;0)*MAX(-3,H30), Tables!$A$220:$O$238, $CF30+1 )</f>
        <v>3</v>
      </c>
      <c r="BE30">
        <f xml:space="preserve"> MAX( 0,  MIN( ROUNDDOWN(G30,0), BD30, IF(CM30&gt;0,MaxJumpPower,MIN(MaxManPower,HullMaxG)) ) )</f>
        <v>2</v>
      </c>
      <c r="BF30" s="1" t="s">
        <v>306</v>
      </c>
      <c r="BG30">
        <f xml:space="preserve"> VLOOKUP( $BE30, Tables!$A$242:$O$251, $CF30+1 )</f>
        <v>11</v>
      </c>
      <c r="BH30" s="120">
        <f xml:space="preserve"> MAX(   CA30,   IF(DriveFormula&gt;0,999999,0),   ROUNDUP( (CD30 / AX30 - CC30) / CB30, 0 ) * 100,   MIN(2400,ROUNDUP( AR30/9/9/100,0)*100),   IF(E30+F30&lt;=0,0,MIN(2400,ROUNDUP( AR30/MAX(1,E30)/MAX(1,F30)/100,0)*100))   )</f>
        <v>2400</v>
      </c>
      <c r="BI30" s="130">
        <f xml:space="preserve"> MAX( 1, MIN(9,E30), ROUNDUP( AR30 / ( MAX(1,BJ30)*BH30 ), 0 ) )</f>
        <v>1</v>
      </c>
      <c r="BJ30" s="130">
        <f xml:space="preserve"> MAX( 1, MIN(9,F30), MIN( 9, ROUNDUP( IF(AR30/BH30/MAX(1,E30)&lt;=9,AR30/BH30/MAX(1,E30),SQRT(AR30/BH30/MAX(1,E30))), 0 ) ) )</f>
        <v>1</v>
      </c>
      <c r="BK30" s="120"/>
      <c r="BL30" s="120" t="s">
        <v>976</v>
      </c>
      <c r="BM30" s="177">
        <f xml:space="preserve"> AR30 / BJ30 / BI30</f>
        <v>100</v>
      </c>
      <c r="BN30" s="91" t="str">
        <f>VLOOKUP( $BM30, Tables!$A$255:$I$325, 2 )</f>
        <v>A</v>
      </c>
      <c r="BO30" s="53">
        <f>VLOOKUP( $BM30, Tables!$A$255:$I$325, 3 )</f>
        <v>100</v>
      </c>
      <c r="BQ30">
        <f xml:space="preserve"> MAX( ROUNDUP( BM30/100, 0 ) * CB30 + CC30, CD30 ) * (BM30&gt;0)</f>
        <v>10</v>
      </c>
      <c r="BS30" s="104">
        <f xml:space="preserve"> MAX( BM30/100 * CB30 + CC30, CD30 ) * (BM30&gt;0)</f>
        <v>10</v>
      </c>
      <c r="BU30" s="53">
        <f xml:space="preserve"> IF( DriveFormula&gt;0, BM30, BO30 ) * AZ30</f>
        <v>100</v>
      </c>
      <c r="BW30" s="205">
        <f xml:space="preserve"> IF(BU30&gt;0, BU30 * 2 / MAX(0.5,I30), 1000000 )</f>
        <v>100</v>
      </c>
      <c r="BZ30" s="1" t="str">
        <f xml:space="preserve"> VLOOKUP( $A30, Tables!$A$197:$S$210, BZ$29, 0 )</f>
        <v>J</v>
      </c>
      <c r="CA30" s="1">
        <f xml:space="preserve"> VLOOKUP( $A30, Tables!$A$197:$S$210, CA$29, 0 )</f>
        <v>2400</v>
      </c>
      <c r="CB30" s="1">
        <f xml:space="preserve"> VLOOKUP( $A30, Tables!$A$197:$S$210, CB$29, 0 )</f>
        <v>5</v>
      </c>
      <c r="CC30" s="1">
        <f xml:space="preserve"> VLOOKUP( $A30, Tables!$A$197:$S$210, CC$29, 0 )</f>
        <v>5</v>
      </c>
      <c r="CD30" s="1">
        <f xml:space="preserve"> VLOOKUP( $A30, Tables!$A$197:$S$210, CD$29, 0 )</f>
        <v>10</v>
      </c>
      <c r="CE30" s="1">
        <f xml:space="preserve"> VLOOKUP( $A30, Tables!$A$197:$S$210, CE$29, 0 )</f>
        <v>1</v>
      </c>
      <c r="CF30" s="1">
        <f xml:space="preserve"> VLOOKUP( $A30, Tables!$A$197:$S$210, CF$29, 0 )</f>
        <v>1</v>
      </c>
      <c r="CG30" s="1">
        <f xml:space="preserve"> VLOOKUP( $A30, Tables!$A$197:$S$210, CG$29, 0 )</f>
        <v>0</v>
      </c>
      <c r="CH30" s="1">
        <f xml:space="preserve"> VLOOKUP( $A30, Tables!$A$197:$S$210, CH$29, 0 )</f>
        <v>0</v>
      </c>
      <c r="CI30" s="1">
        <f xml:space="preserve"> VLOOKUP( $A30, Tables!$A$197:$S$210, CI$29, 0 )</f>
        <v>0.1</v>
      </c>
      <c r="CJ30" s="1">
        <f xml:space="preserve"> VLOOKUP( $A30, Tables!$A$197:$S$210, CJ$29, 0 )</f>
        <v>0</v>
      </c>
      <c r="CK30" s="1">
        <f xml:space="preserve"> VLOOKUP( $A30, Tables!$A$197:$S$210, CK$29, 0 )</f>
        <v>0</v>
      </c>
      <c r="CL30" s="1">
        <f xml:space="preserve"> VLOOKUP( $A30, Tables!$A$197:$S$210, CL$29, 0 )</f>
        <v>0</v>
      </c>
      <c r="CM30" s="1">
        <f xml:space="preserve"> VLOOKUP( $A30, Tables!$A$197:$S$210, CM$29, 0 )</f>
        <v>1</v>
      </c>
      <c r="CN30" s="1">
        <f xml:space="preserve"> VLOOKUP( $A30, Tables!$A$197:$S$210, CN$29, 0 )</f>
        <v>0</v>
      </c>
      <c r="CO30" s="1">
        <f xml:space="preserve"> VLOOKUP( $A30, Tables!$A$197:$S$210, CO$29, 0 )</f>
        <v>0</v>
      </c>
      <c r="CP30" s="1">
        <f xml:space="preserve"> VLOOKUP( $A30, Tables!$A$197:$S$210, CP$29, 0 )</f>
        <v>0</v>
      </c>
      <c r="CQ30" s="1">
        <f xml:space="preserve"> VLOOKUP( $A30, Tables!$A$197:$S$210, CQ$29, 0 )</f>
        <v>0</v>
      </c>
      <c r="CR30" s="1"/>
      <c r="CS30" s="207">
        <f xml:space="preserve"> I30 * (CI30&lt;0)</f>
        <v>0</v>
      </c>
      <c r="CT30" s="208">
        <f t="shared" ref="CT30:CU34" si="117" xml:space="preserve"> $I30 * CG30 * $BA30</f>
        <v>0</v>
      </c>
      <c r="CU30" s="208">
        <f t="shared" si="117"/>
        <v>0</v>
      </c>
      <c r="CV30" s="208">
        <f xml:space="preserve"> CI30 * $BA30</f>
        <v>0.1</v>
      </c>
      <c r="CW30" s="207">
        <f t="shared" ref="CW30:DD33" si="118" xml:space="preserve"> $I30 * CJ30</f>
        <v>0</v>
      </c>
      <c r="CX30" s="207">
        <f t="shared" si="118"/>
        <v>0</v>
      </c>
      <c r="CY30" s="207">
        <f t="shared" si="118"/>
        <v>0</v>
      </c>
      <c r="CZ30" s="207">
        <f t="shared" si="118"/>
        <v>2</v>
      </c>
      <c r="DA30" s="207">
        <f t="shared" si="118"/>
        <v>0</v>
      </c>
      <c r="DB30" s="207">
        <f t="shared" si="118"/>
        <v>0</v>
      </c>
      <c r="DC30" s="207">
        <f t="shared" si="118"/>
        <v>0</v>
      </c>
      <c r="DD30" s="207">
        <f t="shared" si="118"/>
        <v>0</v>
      </c>
      <c r="DE30" s="207">
        <f xml:space="preserve"> (CZ30&gt;0) * (AS30&lt;=-1)</f>
        <v>0</v>
      </c>
      <c r="DF30" s="207">
        <f xml:space="preserve"> I30 * (CI30&gt;0)</f>
        <v>2</v>
      </c>
      <c r="DH30">
        <f xml:space="preserve"> (G30&lt;&gt;0) * BD30 * (CQ30&gt;0)</f>
        <v>0</v>
      </c>
      <c r="DI30" t="b">
        <f xml:space="preserve"> OR( CW30&gt;DA$26, CX30&gt;DB$26, CY30&gt;DC$26, CZ30&gt;DD$26 )</f>
        <v>0</v>
      </c>
      <c r="DJ30">
        <f xml:space="preserve"> I30 * ( CM30=0)</f>
        <v>0</v>
      </c>
      <c r="DK30">
        <f xml:space="preserve"> (G30&lt;&gt;0) * BD30 * (CO30&gt;0)</f>
        <v>0</v>
      </c>
      <c r="DL30">
        <f ca="1" xml:space="preserve"> IF( $AV30=Tables!$C$189, 5, RANDBETWEEN(1,6)+RANDBETWEEN(1,6)-2 )</f>
        <v>2</v>
      </c>
      <c r="DM30">
        <f ca="1" xml:space="preserve"> IF( $AV30=Tables!$C$189, 0, RANDBETWEEN(1,6)-RANDBETWEEN(1,6)+ VLOOKUP( $AS30, Tables!$A$184:$Q$193,  14 ) )</f>
        <v>3</v>
      </c>
      <c r="DN30">
        <f ca="1" xml:space="preserve"> IF( $AV30=Tables!$C$189, 0, RANDBETWEEN(1,6)-RANDBETWEEN(1,6)+ VLOOKUP( $AS30, Tables!$A$184:$Q$193,  15 ) )</f>
        <v>1</v>
      </c>
      <c r="DO30">
        <f ca="1" xml:space="preserve"> IF( $AV30=Tables!$C$189, 0, RANDBETWEEN(1,6)-RANDBETWEEN(1,6)+ VLOOKUP( $AS30, Tables!$A$184:$Q$193,  16 ) )</f>
        <v>1</v>
      </c>
      <c r="DP30">
        <f ca="1" xml:space="preserve"> IF( $AV30=Tables!$C$189, 0, RANDBETWEEN(1,6)-RANDBETWEEN(1,6)+ VLOOKUP( $AS30, Tables!$A$184:$Q$193,  17 ) )</f>
        <v>1</v>
      </c>
      <c r="DQ30" s="44" t="str">
        <f ca="1" xml:space="preserve"> VLOOKUP( $DL30,Tables!$B$2:$C$36,2)</f>
        <v>2</v>
      </c>
      <c r="DR30" t="str">
        <f ca="1" xml:space="preserve"> IF( DM30&lt;0, CONCATENATE( DM30 ), CONCATENATE( " ", DM30 ) )</f>
        <v xml:space="preserve"> 3</v>
      </c>
      <c r="DS30" t="str">
        <f t="shared" ref="DS30:DU30" ca="1" si="119" xml:space="preserve"> IF( DN30&lt;0, CONCATENATE( DN30 ), CONCATENATE( " ", DN30 ) )</f>
        <v xml:space="preserve"> 1</v>
      </c>
      <c r="DT30" t="str">
        <f t="shared" ca="1" si="119"/>
        <v xml:space="preserve"> 1</v>
      </c>
      <c r="DU30" t="str">
        <f t="shared" ca="1" si="119"/>
        <v xml:space="preserve"> 1</v>
      </c>
      <c r="DW30" s="194">
        <f xml:space="preserve"> SUM( DX$4:DX30, -DX30 )</f>
        <v>0</v>
      </c>
      <c r="DX30" s="194">
        <v>0</v>
      </c>
      <c r="DY30" s="194">
        <f xml:space="preserve"> SUM( DZ$4:DZ30, -DZ30 )</f>
        <v>0</v>
      </c>
      <c r="DZ30" s="194">
        <v>0</v>
      </c>
      <c r="EA30" s="194">
        <f xml:space="preserve"> SUM( EB$4:EB30, -EB30 )</f>
        <v>0</v>
      </c>
      <c r="EB30" s="194">
        <v>0</v>
      </c>
      <c r="EC30" s="194">
        <f xml:space="preserve"> SUM( ED$4:ED30, -ED30 )</f>
        <v>0</v>
      </c>
      <c r="ED30" s="194">
        <v>0</v>
      </c>
      <c r="EE30" s="194">
        <f xml:space="preserve"> SUM( EF$4:EF30, -EF30 )</f>
        <v>0</v>
      </c>
      <c r="EF30" s="194">
        <v>0</v>
      </c>
      <c r="EG30" s="194">
        <f xml:space="preserve"> SUM( EH$4:EH30, -EH30 )</f>
        <v>0</v>
      </c>
      <c r="EH30" s="194">
        <v>0</v>
      </c>
      <c r="EI30" s="194">
        <f xml:space="preserve"> SUM( EJ$4:EJ30, -EJ30 )</f>
        <v>0</v>
      </c>
      <c r="EJ30" s="194">
        <v>0</v>
      </c>
      <c r="EK30" s="194">
        <f xml:space="preserve"> SUM( EL$4:EL30, -EL30 )</f>
        <v>0</v>
      </c>
      <c r="EL30" s="194">
        <v>0</v>
      </c>
      <c r="EM30" s="194">
        <f xml:space="preserve"> SUM( EN$4:EN30, -EN30 )</f>
        <v>0</v>
      </c>
      <c r="EN30" s="194">
        <v>0</v>
      </c>
      <c r="EO30" s="194">
        <f xml:space="preserve"> SUM( EP$4:EP30, -EP30 )</f>
        <v>0</v>
      </c>
      <c r="EP30" s="194">
        <v>0</v>
      </c>
      <c r="EQ30" s="194">
        <f xml:space="preserve"> SUM( ER$4:ER30, -ER30 )</f>
        <v>0</v>
      </c>
      <c r="ER30" s="194">
        <v>0</v>
      </c>
      <c r="ES30" s="194">
        <f xml:space="preserve"> SUM( ET$4:ET30, -ET30 )</f>
        <v>0</v>
      </c>
      <c r="ET30" s="194">
        <v>0</v>
      </c>
      <c r="EU30" s="194">
        <f xml:space="preserve"> SUM( EV$4:EV30, -EV30 )</f>
        <v>0</v>
      </c>
      <c r="EV30" s="194">
        <f xml:space="preserve"> K30 * (CI30&gt;0)</f>
        <v>10</v>
      </c>
      <c r="EW30" s="194">
        <f xml:space="preserve"> SUM( EX$4:EX30, -EX30 )</f>
        <v>0</v>
      </c>
      <c r="EX30" s="194">
        <f xml:space="preserve"> K30 * (CI30&lt;=0)</f>
        <v>0</v>
      </c>
      <c r="EZ30" t="str">
        <f t="shared" si="92"/>
        <v>Jump</v>
      </c>
      <c r="FB30" s="237">
        <f xml:space="preserve"> SUM( FC$4:FC30, -FC30 )</f>
        <v>1</v>
      </c>
      <c r="FC30" s="237">
        <v>0</v>
      </c>
      <c r="FD30" s="237">
        <f xml:space="preserve"> SUM( FE$4:FE30, -FE30 )</f>
        <v>1</v>
      </c>
      <c r="FE30" s="237">
        <v>0</v>
      </c>
      <c r="FF30" t="str">
        <f t="shared" si="16"/>
        <v>Jump</v>
      </c>
    </row>
    <row r="31" spans="1:162">
      <c r="A31" s="16" t="s">
        <v>615</v>
      </c>
      <c r="B31" s="8" t="str">
        <f t="shared" ref="B31:B33" si="120">AV31</f>
        <v>Std</v>
      </c>
      <c r="C31" s="254" t="str">
        <f xml:space="preserve"> IF(   AND(I31&gt;0,K31&gt;0),   CONCATENATE( BZ31, " Drive ", IF(BI31&gt;1,BI31,""), IF(  AND( DriveFormula&gt;0,OR(INT(D31/100)*100&lt;&gt;D31,D31&gt;2400) ), "Custom", BN31), IF(BJ31&gt;1,BJ31,"")  ),   ""   )</f>
        <v>M Drive A</v>
      </c>
      <c r="D31" s="233">
        <f t="shared" ref="D31:D34" si="121" xml:space="preserve">  ROUND( BI31*BJ31*BU31, 0 )</f>
        <v>100</v>
      </c>
      <c r="E31" s="105">
        <v>0</v>
      </c>
      <c r="F31" s="105">
        <v>0</v>
      </c>
      <c r="G31" s="217">
        <f xml:space="preserve"> IFERROR(Simple!C32,2)</f>
        <v>2</v>
      </c>
      <c r="H31" s="221">
        <f xml:space="preserve"> IF(  AND(A31=Tables!$A$197,IFERROR(Simple!$P$31,0)&lt;0),  IFERROR(Simple!$P$31,0),  2*(MAX($G$30:$G$34)&gt;2) + 2*(MAX($G$30:$G$34)&gt;4) + 2*(ExternalLoad&gt;0) + 4*(Military&gt;1)  )</f>
        <v>0</v>
      </c>
      <c r="I31" s="13">
        <f t="shared" si="114"/>
        <v>2</v>
      </c>
      <c r="J31" s="86">
        <f t="shared" ref="J31:J33" si="122">1*(I31&gt;0)</f>
        <v>1</v>
      </c>
      <c r="K31" s="194">
        <f t="shared" ref="K31:K34" si="123" xml:space="preserve"> ROUND( J31 * BI31 * BJ31 * MAX( CD31, IF( DriveFormula&gt;0, BS31, BQ31 ) * AX31 ), 2 )</f>
        <v>2</v>
      </c>
      <c r="L31" s="194">
        <f xml:space="preserve"> K31 * CE31 * AY31 * ( 1 + 0.1*($S31=TL+1) )</f>
        <v>4</v>
      </c>
      <c r="M31" s="48"/>
      <c r="N31" s="48"/>
      <c r="O31" s="48">
        <f t="shared" ref="O31:O33" si="124">K31/35</f>
        <v>5.7142857142857141E-2</v>
      </c>
      <c r="P31" s="49"/>
      <c r="Q31" s="213" t="str">
        <f xml:space="preserve"> IF( DI31, "Not enough power", "" )</f>
        <v/>
      </c>
      <c r="R31" t="str">
        <f t="shared" ref="R31:R32" si="125" xml:space="preserve"> IF( I31&lt;ROUNDDOWN(G31,0), CONCATENATE( "Lim by " &amp; IF( I31=BD31, "TL ", "" ) &amp; IF( AND(DriveFormula&lt;0, AZ31&lt;100%), "Stage ", "" ) &amp; IF( AND(CM31&gt;0,I31=MaxJumpPower), "Power ", "" ) &amp; IF( AND(CM31&lt;=0,I31=MaxManPower), "Power ", "" ) &amp; IF( AND(CM31&lt;=0,I31=HullMaxG), "Hull G limit ", "" ) ), "" )</f>
        <v/>
      </c>
      <c r="S31" s="223">
        <f t="shared" si="115"/>
        <v>12</v>
      </c>
      <c r="T31" t="str">
        <f ca="1" xml:space="preserve"> IF( K31&gt;0, CONCATENATE( DQ31, DR31, DS31, DT31, DU31 ), "" )</f>
        <v>5-1 1 3-2</v>
      </c>
      <c r="Z31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</v>
      </c>
      <c r="AA31" s="160" t="str">
        <f t="shared" ref="AA31:AA48" si="126" xml:space="preserve"> IF( OR(J31&lt;&gt;0,K31&lt;&gt;0,L31&lt;&gt;0), CONCATENATE( newline &amp; AB31 &amp; AC31 &amp; AD31 &amp; AE31 &amp; AF31 &amp; AG31 &amp; AH31 &amp; AI31 &amp; AJ31 &amp; AK31 ), "" )</f>
        <v xml:space="preserve">
M Drive A      2 G, 100 EP                1           2           4      </v>
      </c>
      <c r="AB31" s="161" t="str">
        <f t="shared" ref="AB31:AB32" si="127" xml:space="preserve"> CONCATENATE( IF(B31&lt;&gt;"Std",CONCATENATE(B31&amp;" "&amp;C31),CONCATENATE(C31&amp;"    ")) &amp; "  " &amp; IF(CM31&gt;0,CONCATENATE(BZ31&amp;"-"&amp;I31),CONCATENATE(I31&amp;" G")) &amp; ", " &amp; D31 &amp; " EP" )</f>
        <v>M Drive A      2 G, 100 EP</v>
      </c>
      <c r="AC31" s="160" t="str">
        <f t="shared" si="1"/>
        <v xml:space="preserve">     </v>
      </c>
      <c r="AD31" s="160" t="str">
        <f t="shared" si="2"/>
        <v xml:space="preserve">           </v>
      </c>
      <c r="AE31" s="162" t="str">
        <f t="shared" si="63"/>
        <v>1</v>
      </c>
      <c r="AF31" s="160" t="str">
        <f t="shared" si="3"/>
        <v xml:space="preserve">           </v>
      </c>
      <c r="AG31" s="161" t="str">
        <f t="shared" si="64"/>
        <v>2</v>
      </c>
      <c r="AH31" s="160" t="str">
        <f t="shared" si="53"/>
        <v xml:space="preserve">           </v>
      </c>
      <c r="AI31" s="163" t="str">
        <f t="shared" si="65"/>
        <v>4</v>
      </c>
      <c r="AJ31" s="160" t="str">
        <f t="shared" si="5"/>
        <v xml:space="preserve">      </v>
      </c>
      <c r="AK31" s="163" t="str">
        <f t="shared" si="14"/>
        <v/>
      </c>
      <c r="AL31" s="163"/>
      <c r="AM31" s="153"/>
      <c r="AN31" s="153"/>
      <c r="AO31" s="153">
        <f t="shared" ref="AO31:AO34" si="128" xml:space="preserve"> J31 * ROUNDUP(IFERROR(K31/J31,0)/35,0) * (L31&gt;0)</f>
        <v>1</v>
      </c>
      <c r="AP31" s="194"/>
      <c r="AQ31" s="46" t="s">
        <v>1016</v>
      </c>
      <c r="AR31" s="194">
        <f xml:space="preserve"> IF(  DriveFormula&lt;0, ROUNDUP( I31/AZ31,0)*DriveCapacity/2,  I31*DriveCapacity/2/AZ31  )</f>
        <v>100</v>
      </c>
      <c r="AS31" s="98">
        <f xml:space="preserve"> MIN( MAX( IF(H31&gt;0,-3,H31), $S31-BG31), IF(H31=0,0,IF(H31&lt;=-1,4,H31)), 4 )</f>
        <v>0</v>
      </c>
      <c r="AT31" t="s">
        <v>378</v>
      </c>
      <c r="AU31" s="8" t="str">
        <f>VLOOKUP( $AS31, Tables!$A$184:$H$193,  2 )</f>
        <v>Standard</v>
      </c>
      <c r="AV31" s="8" t="str">
        <f>VLOOKUP( $AS31, Tables!$A$184:$H$193,  3 )</f>
        <v>Std</v>
      </c>
      <c r="AW31" s="90">
        <f>VLOOKUP( $AS31, Tables!$A$184:$H$193, 4 )</f>
        <v>0</v>
      </c>
      <c r="AX31" s="149">
        <f>VLOOKUP( $AS31, Tables!$A$184:$S$193, 18 )</f>
        <v>1</v>
      </c>
      <c r="AY31" s="149">
        <f>VLOOKUP( $AS31, Tables!$A$184:$S$193, 19 )</f>
        <v>1</v>
      </c>
      <c r="AZ31" s="8">
        <f>VLOOKUP( $AS31, Tables!$A$184:$H$193, 7 )</f>
        <v>1</v>
      </c>
      <c r="BA31" s="8">
        <f>VLOOKUP( $AS31, Tables!$A$184:$H$193, 8 )</f>
        <v>1</v>
      </c>
      <c r="BB31" s="18"/>
      <c r="BC31" t="s">
        <v>279</v>
      </c>
      <c r="BD31">
        <f xml:space="preserve"> VLOOKUP( $S31-(H31&lt;0)*MAX(-3,H31), Tables!$A$220:$O$238, $CF31+1 )</f>
        <v>7</v>
      </c>
      <c r="BE31">
        <f t="shared" ref="BE31:BE32" si="129" xml:space="preserve"> MAX( 0,  MIN( ROUNDDOWN(G31,0), BD31, IF(CM31&gt;0,MaxJumpPower,MIN(MaxManPower,HullMaxG)) ) )</f>
        <v>2</v>
      </c>
      <c r="BF31" s="1" t="s">
        <v>306</v>
      </c>
      <c r="BG31">
        <f xml:space="preserve"> VLOOKUP( $BE31, Tables!$A$242:$O$251, $CF31+1 )</f>
        <v>9</v>
      </c>
      <c r="BH31" s="120">
        <f t="shared" ref="BH31:BH34" si="130" xml:space="preserve"> MAX(   CA31,   IF(DriveFormula&gt;0,999999,0),   ROUNDUP( (CD31 / AX31 - CC31) / CB31, 0 ) * 100,   MIN(2400,ROUNDUP( AR31/9/9/100,0)*100),   IF(E31+F31&lt;=0,0,MIN(2400,ROUNDUP( AR31/MAX(1,E31)/MAX(1,F31)/100,0)*100))   )</f>
        <v>200</v>
      </c>
      <c r="BI31" s="130">
        <f xml:space="preserve"> MAX( 1, MIN(9,E31), ROUNDUP( AR31 / ( MAX(1,BJ31)*BH31 ), 0 ) )</f>
        <v>1</v>
      </c>
      <c r="BJ31" s="130">
        <f xml:space="preserve"> MAX( 1, MIN(9,F31), MIN( 9, ROUNDUP( IF(AR31/BH31/MAX(1,E31)&lt;=9,AR31/BH31/MAX(1,E31),SQRT(AR31/BH31/MAX(1,E31))), 0 ) ) )</f>
        <v>1</v>
      </c>
      <c r="BK31" s="120"/>
      <c r="BL31" s="120" t="s">
        <v>976</v>
      </c>
      <c r="BM31" s="177">
        <f t="shared" ref="BM31:BM34" si="131" xml:space="preserve"> AR31 / BJ31 / BI31</f>
        <v>100</v>
      </c>
      <c r="BN31" s="91" t="str">
        <f>VLOOKUP( $BM31, Tables!$A$255:$I$325, 2 )</f>
        <v>A</v>
      </c>
      <c r="BO31" s="53">
        <f>VLOOKUP( $BM31, Tables!$A$255:$I$325, 3 )</f>
        <v>100</v>
      </c>
      <c r="BQ31">
        <f xml:space="preserve"> MAX( ROUNDUP( BM31/100, 0 ) * CB31 + CC31, CD31 ) * (BM31&gt;0)</f>
        <v>2</v>
      </c>
      <c r="BS31" s="240">
        <f t="shared" ref="BS31:BS34" si="132" xml:space="preserve"> MAX( BM31/100 * CB31 + CC31, CD31 ) * (BM31&gt;0)</f>
        <v>2</v>
      </c>
      <c r="BU31" s="53">
        <f t="shared" ref="BU31:BU34" si="133" xml:space="preserve"> IF( DriveFormula&gt;0, BM31, BO31 ) * AZ31</f>
        <v>100</v>
      </c>
      <c r="BW31" s="205">
        <f xml:space="preserve"> IF(BU31&gt;0, BU31 * 2 / MAX(0.5,I31), 1000000 )</f>
        <v>100</v>
      </c>
      <c r="BZ31" s="1" t="str">
        <f xml:space="preserve"> VLOOKUP( $A31, Tables!$A$197:$S$210, BZ$29, 0 )</f>
        <v>M</v>
      </c>
      <c r="CA31" s="1">
        <f xml:space="preserve"> VLOOKUP( $A31, Tables!$A$197:$S$210, CA$29, 0 )</f>
        <v>100</v>
      </c>
      <c r="CB31" s="1">
        <f xml:space="preserve"> VLOOKUP( $A31, Tables!$A$197:$S$210, CB$29, 0 )</f>
        <v>2</v>
      </c>
      <c r="CC31" s="1">
        <f xml:space="preserve"> VLOOKUP( $A31, Tables!$A$197:$S$210, CC$29, 0 )</f>
        <v>-1</v>
      </c>
      <c r="CD31" s="1">
        <f xml:space="preserve"> VLOOKUP( $A31, Tables!$A$197:$S$210, CD$29, 0 )</f>
        <v>2</v>
      </c>
      <c r="CE31" s="1">
        <f xml:space="preserve"> VLOOKUP( $A31, Tables!$A$197:$S$210, CE$29, 0 )</f>
        <v>2</v>
      </c>
      <c r="CF31" s="1">
        <f xml:space="preserve"> VLOOKUP( $A31, Tables!$A$197:$S$210, CF$29, 0 )</f>
        <v>6</v>
      </c>
      <c r="CG31" s="1">
        <f xml:space="preserve"> VLOOKUP( $A31, Tables!$A$197:$S$210, CG$29, 0 )</f>
        <v>0</v>
      </c>
      <c r="CH31" s="1">
        <f xml:space="preserve"> VLOOKUP( $A31, Tables!$A$197:$S$210, CH$29, 0 )</f>
        <v>0</v>
      </c>
      <c r="CI31" s="1">
        <f xml:space="preserve"> VLOOKUP( $A31, Tables!$A$197:$S$210, CI$29, 0 )</f>
        <v>0</v>
      </c>
      <c r="CJ31" s="1">
        <f xml:space="preserve"> VLOOKUP( $A31, Tables!$A$197:$S$210, CJ$29, 0 )</f>
        <v>0</v>
      </c>
      <c r="CK31" s="1">
        <f xml:space="preserve"> VLOOKUP( $A31, Tables!$A$197:$S$210, CK$29, 0 )</f>
        <v>1</v>
      </c>
      <c r="CL31" s="1">
        <f xml:space="preserve"> VLOOKUP( $A31, Tables!$A$197:$S$210, CL$29, 0 )</f>
        <v>0</v>
      </c>
      <c r="CM31" s="1">
        <f xml:space="preserve"> VLOOKUP( $A31, Tables!$A$197:$S$210, CM$29, 0 )</f>
        <v>0</v>
      </c>
      <c r="CN31" s="1">
        <f xml:space="preserve"> VLOOKUP( $A31, Tables!$A$197:$S$210, CN$29, 0 )</f>
        <v>0</v>
      </c>
      <c r="CO31" s="1">
        <f xml:space="preserve"> VLOOKUP( $A31, Tables!$A$197:$S$210, CO$29, 0 )</f>
        <v>0</v>
      </c>
      <c r="CP31" s="1">
        <f xml:space="preserve"> VLOOKUP( $A31, Tables!$A$197:$S$210, CP$29, 0 )</f>
        <v>0</v>
      </c>
      <c r="CQ31" s="1">
        <f xml:space="preserve"> VLOOKUP( $A31, Tables!$A$197:$S$210, CQ$29, 0 )</f>
        <v>0</v>
      </c>
      <c r="CR31" s="1"/>
      <c r="CS31" s="207">
        <f xml:space="preserve"> I31 * (CI31&lt;0)</f>
        <v>0</v>
      </c>
      <c r="CT31" s="208">
        <f t="shared" si="117"/>
        <v>0</v>
      </c>
      <c r="CU31" s="208">
        <f t="shared" si="117"/>
        <v>0</v>
      </c>
      <c r="CV31" s="208">
        <f xml:space="preserve"> $I31 * CI31 * $BA31</f>
        <v>0</v>
      </c>
      <c r="CW31" s="207">
        <f t="shared" si="118"/>
        <v>0</v>
      </c>
      <c r="CX31" s="207">
        <f t="shared" si="118"/>
        <v>2</v>
      </c>
      <c r="CY31" s="207">
        <f t="shared" si="118"/>
        <v>0</v>
      </c>
      <c r="CZ31" s="207">
        <f t="shared" si="118"/>
        <v>0</v>
      </c>
      <c r="DA31" s="207">
        <f t="shared" si="118"/>
        <v>0</v>
      </c>
      <c r="DB31" s="207">
        <f t="shared" si="118"/>
        <v>0</v>
      </c>
      <c r="DC31" s="207">
        <f t="shared" si="118"/>
        <v>0</v>
      </c>
      <c r="DD31" s="207">
        <f t="shared" si="118"/>
        <v>0</v>
      </c>
      <c r="DE31" s="207">
        <f t="shared" ref="DE31:DE34" si="134" xml:space="preserve"> (CZ31&gt;0) * (AS31&lt;=-1)</f>
        <v>0</v>
      </c>
      <c r="DF31" s="207">
        <f xml:space="preserve"> I31 * (CI31&gt;0)</f>
        <v>0</v>
      </c>
      <c r="DH31">
        <f t="shared" ref="DH31:DH34" si="135" xml:space="preserve"> (G31&lt;&gt;0) * BD31 * (CQ31&gt;0)</f>
        <v>0</v>
      </c>
      <c r="DI31" t="b">
        <f xml:space="preserve"> OR( CW31&gt;DA$26, CX31&gt;DB$26, CY31&gt;DC$26, CZ31&gt;DD$26 )</f>
        <v>0</v>
      </c>
      <c r="DJ31">
        <f xml:space="preserve"> I31 * ( CM31=0)</f>
        <v>2</v>
      </c>
      <c r="DK31">
        <f t="shared" ref="DK31:DK34" si="136" xml:space="preserve"> (G31&lt;&gt;0) * BD31 * (CO31&gt;0)</f>
        <v>0</v>
      </c>
      <c r="DL31">
        <f ca="1" xml:space="preserve"> IF( $AV31=Tables!$C$189, 5, RANDBETWEEN(1,6)+RANDBETWEEN(1,6)-2 )</f>
        <v>5</v>
      </c>
      <c r="DM31">
        <f ca="1" xml:space="preserve"> IF( $AV31=Tables!$C$189, 0, RANDBETWEEN(1,6)-RANDBETWEEN(1,6)+ VLOOKUP( $AS31, Tables!$A$184:$Q$193,  14 ) )</f>
        <v>-1</v>
      </c>
      <c r="DN31">
        <f ca="1" xml:space="preserve"> IF( $AV31=Tables!$C$189, 0, RANDBETWEEN(1,6)-RANDBETWEEN(1,6)+ VLOOKUP( $AS31, Tables!$A$184:$Q$193,  15 ) )</f>
        <v>1</v>
      </c>
      <c r="DO31">
        <f ca="1" xml:space="preserve"> IF( $AV31=Tables!$C$189, 0, RANDBETWEEN(1,6)-RANDBETWEEN(1,6)+ VLOOKUP( $AS31, Tables!$A$184:$Q$193,  16 ) )</f>
        <v>3</v>
      </c>
      <c r="DP31">
        <f ca="1" xml:space="preserve"> IF( $AV31=Tables!$C$189, 0, RANDBETWEEN(1,6)-RANDBETWEEN(1,6)+ VLOOKUP( $AS31, Tables!$A$184:$Q$193,  17 ) )</f>
        <v>-2</v>
      </c>
      <c r="DQ31" s="44" t="str">
        <f ca="1" xml:space="preserve"> VLOOKUP( $DL31,Tables!$B$2:$C$36,2)</f>
        <v>5</v>
      </c>
      <c r="DR31" t="str">
        <f t="shared" ref="DR31:DR33" ca="1" si="137" xml:space="preserve"> IF( DM31&lt;0, CONCATENATE( DM31 ), CONCATENATE( " ", DM31 ) )</f>
        <v>-1</v>
      </c>
      <c r="DS31" t="str">
        <f t="shared" ref="DS31:DS33" ca="1" si="138" xml:space="preserve"> IF( DN31&lt;0, CONCATENATE( DN31 ), CONCATENATE( " ", DN31 ) )</f>
        <v xml:space="preserve"> 1</v>
      </c>
      <c r="DT31" t="str">
        <f t="shared" ref="DT31:DT33" ca="1" si="139" xml:space="preserve"> IF( DO31&lt;0, CONCATENATE( DO31 ), CONCATENATE( " ", DO31 ) )</f>
        <v xml:space="preserve"> 3</v>
      </c>
      <c r="DU31" t="str">
        <f t="shared" ref="DU31:DU33" ca="1" si="140" xml:space="preserve"> IF( DP31&lt;0, CONCATENATE( DP31 ), CONCATENATE( " ", DP31 ) )</f>
        <v>-2</v>
      </c>
      <c r="DW31" s="194">
        <f xml:space="preserve"> SUM( DX$4:DX31, -DX31 )</f>
        <v>0</v>
      </c>
      <c r="DX31" s="194">
        <v>0</v>
      </c>
      <c r="DY31" s="194">
        <f xml:space="preserve"> SUM( DZ$4:DZ31, -DZ31 )</f>
        <v>0</v>
      </c>
      <c r="DZ31" s="194">
        <v>0</v>
      </c>
      <c r="EA31" s="194">
        <f xml:space="preserve"> SUM( EB$4:EB31, -EB31 )</f>
        <v>0</v>
      </c>
      <c r="EB31" s="194">
        <v>0</v>
      </c>
      <c r="EC31" s="194">
        <f xml:space="preserve"> SUM( ED$4:ED31, -ED31 )</f>
        <v>0</v>
      </c>
      <c r="ED31" s="194">
        <v>0</v>
      </c>
      <c r="EE31" s="194">
        <f xml:space="preserve"> SUM( EF$4:EF31, -EF31 )</f>
        <v>0</v>
      </c>
      <c r="EF31" s="194">
        <v>0</v>
      </c>
      <c r="EG31" s="194">
        <f xml:space="preserve"> SUM( EH$4:EH31, -EH31 )</f>
        <v>0</v>
      </c>
      <c r="EH31" s="194">
        <v>0</v>
      </c>
      <c r="EI31" s="194">
        <f xml:space="preserve"> SUM( EJ$4:EJ31, -EJ31 )</f>
        <v>0</v>
      </c>
      <c r="EJ31" s="194">
        <v>0</v>
      </c>
      <c r="EK31" s="194">
        <f xml:space="preserve"> SUM( EL$4:EL31, -EL31 )</f>
        <v>0</v>
      </c>
      <c r="EL31" s="194">
        <v>0</v>
      </c>
      <c r="EM31" s="194">
        <f xml:space="preserve"> SUM( EN$4:EN31, -EN31 )</f>
        <v>0</v>
      </c>
      <c r="EN31" s="194">
        <v>0</v>
      </c>
      <c r="EO31" s="194">
        <f xml:space="preserve"> SUM( EP$4:EP31, -EP31 )</f>
        <v>0</v>
      </c>
      <c r="EP31" s="194">
        <v>0</v>
      </c>
      <c r="EQ31" s="194">
        <f xml:space="preserve"> SUM( ER$4:ER31, -ER31 )</f>
        <v>0</v>
      </c>
      <c r="ER31" s="194">
        <v>0</v>
      </c>
      <c r="ES31" s="194">
        <f xml:space="preserve"> SUM( ET$4:ET31, -ET31 )</f>
        <v>0</v>
      </c>
      <c r="ET31" s="194">
        <v>0</v>
      </c>
      <c r="EU31" s="194">
        <f xml:space="preserve"> SUM( EV$4:EV31, -EV31 )</f>
        <v>10</v>
      </c>
      <c r="EV31" s="194">
        <f xml:space="preserve"> K31 * (CI31&gt;0)</f>
        <v>0</v>
      </c>
      <c r="EW31" s="194">
        <f xml:space="preserve"> SUM( EX$4:EX31, -EX31 )</f>
        <v>0</v>
      </c>
      <c r="EX31" s="194">
        <f xml:space="preserve"> K31 * (CI31&lt;=0)</f>
        <v>2</v>
      </c>
      <c r="EZ31" t="str">
        <f t="shared" si="92"/>
        <v>Manœuvre</v>
      </c>
      <c r="FB31" s="237">
        <f xml:space="preserve"> SUM( FC$4:FC31, -FC31 )</f>
        <v>1</v>
      </c>
      <c r="FC31" s="237">
        <v>0</v>
      </c>
      <c r="FD31" s="237">
        <f xml:space="preserve"> SUM( FE$4:FE31, -FE31 )</f>
        <v>1</v>
      </c>
      <c r="FE31" s="237">
        <v>0</v>
      </c>
      <c r="FF31" t="str">
        <f t="shared" si="16"/>
        <v>Manœuvre</v>
      </c>
    </row>
    <row r="32" spans="1:162">
      <c r="A32" s="16" t="s">
        <v>591</v>
      </c>
      <c r="B32" s="149" t="str">
        <f t="shared" ref="B32" si="141">AV32</f>
        <v>Std</v>
      </c>
      <c r="C32" s="256" t="str">
        <f t="shared" ref="C32" si="142" xml:space="preserve"> IF(   AND(I32&gt;0,K32&gt;0),   CONCATENATE( BZ32, " Drive ", IF(BI32&gt;1,BI32,""), IF(  AND( DriveFormula&gt;0,OR(INT(D32/100)*100&lt;&gt;D32,D32&gt;2400) ), "Custom", BN32), IF(BJ32&gt;1,BJ32,"")  ),   ""   )</f>
        <v/>
      </c>
      <c r="D32" s="233">
        <f t="shared" si="121"/>
        <v>0</v>
      </c>
      <c r="E32" s="199">
        <v>0</v>
      </c>
      <c r="F32" s="199">
        <v>0</v>
      </c>
      <c r="G32" s="217">
        <v>0</v>
      </c>
      <c r="H32" s="221">
        <f t="shared" ref="H32:H34" si="143" xml:space="preserve"> 2*(MAX($G$30:$G$34)&gt;2) + 2*(MAX($G$30:$G$34)&gt;4) + 2*(ExternalLoad&gt;0) + 4*(Military&gt;1)</f>
        <v>0</v>
      </c>
      <c r="I32" s="13">
        <f xml:space="preserve"> ROUNDDOWN(   MAX( 0,  MIN( ROUNDDOWN(G32,0), BD32, IF(CM32&gt;0,MaxJumpPower,MIN(IF(CK32&gt;0,MaxManPower,99),HullMaxG)) ) ) * IF( DriveFormula&lt;0, AZ32, 1 ),   0   )</f>
        <v>0</v>
      </c>
      <c r="J32" s="86">
        <f t="shared" ref="J32" si="144">1*(I32&gt;0)</f>
        <v>0</v>
      </c>
      <c r="K32" s="194">
        <f t="shared" si="123"/>
        <v>0</v>
      </c>
      <c r="L32" s="194">
        <f xml:space="preserve"> K32 * CE32 * AY32 * ( 1 + 0.1*($S32=TL+1) )</f>
        <v>0</v>
      </c>
      <c r="M32" s="191"/>
      <c r="N32" s="191"/>
      <c r="O32" s="191">
        <f t="shared" ref="O32" si="145">K32/35</f>
        <v>0</v>
      </c>
      <c r="P32" s="49"/>
      <c r="Q32" s="213" t="str">
        <f xml:space="preserve"> IF( DI32, "Not enough power", "" )</f>
        <v/>
      </c>
      <c r="R32" t="str">
        <f t="shared" si="125"/>
        <v/>
      </c>
      <c r="S32" s="223">
        <f t="shared" si="115"/>
        <v>12</v>
      </c>
      <c r="T32" t="str">
        <f xml:space="preserve"> IF( K32&gt;0, CONCATENATE( DQ32, DR32, DS32, DT32, DU32 ), "" )</f>
        <v/>
      </c>
      <c r="Z32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</v>
      </c>
      <c r="AA32" s="160" t="str">
        <f t="shared" si="126"/>
        <v/>
      </c>
      <c r="AB32" s="161" t="str">
        <f t="shared" si="127"/>
        <v xml:space="preserve">      0 G, 0 EP</v>
      </c>
      <c r="AC32" s="160" t="str">
        <f t="shared" si="1"/>
        <v xml:space="preserve">                </v>
      </c>
      <c r="AD32" s="160" t="str">
        <f t="shared" ref="AD32" si="146" xml:space="preserve"> CONCATENATE( REPT(" ",MAX(0,12-LEN(AE32))) )</f>
        <v xml:space="preserve">           </v>
      </c>
      <c r="AE32" s="162" t="str">
        <f t="shared" ref="AE32" si="147" xml:space="preserve"> CONCATENATE( J32 )</f>
        <v>0</v>
      </c>
      <c r="AF32" s="160" t="str">
        <f t="shared" ref="AF32" si="148" xml:space="preserve"> CONCATENATE( REPT(" ",MAX(0,12-LEN(AG32))) )</f>
        <v xml:space="preserve">           </v>
      </c>
      <c r="AG32" s="161" t="str">
        <f t="shared" ref="AG32" si="149" xml:space="preserve"> CONCATENATE( K32 )</f>
        <v>0</v>
      </c>
      <c r="AH32" s="160" t="str">
        <f t="shared" ref="AH32" si="150" xml:space="preserve"> CONCATENATE( REPT(" ",MAX(0,12-LEN(AI32))) )</f>
        <v xml:space="preserve">           </v>
      </c>
      <c r="AI32" s="163" t="str">
        <f t="shared" ref="AI32" si="151" xml:space="preserve"> CONCATENATE( L32 )</f>
        <v>0</v>
      </c>
      <c r="AJ32" s="160" t="str">
        <f t="shared" si="5"/>
        <v xml:space="preserve">      </v>
      </c>
      <c r="AK32" s="163" t="str">
        <f t="shared" si="14"/>
        <v/>
      </c>
      <c r="AL32" s="163"/>
      <c r="AM32" s="153"/>
      <c r="AN32" s="153"/>
      <c r="AO32" s="153">
        <f t="shared" si="128"/>
        <v>0</v>
      </c>
      <c r="AP32" s="194"/>
      <c r="AQ32" s="194" t="s">
        <v>1016</v>
      </c>
      <c r="AR32" s="194">
        <f xml:space="preserve"> IF(  DriveFormula&lt;0, ROUNDUP( I32/AZ32,0)*DriveCapacity/2,  I32*DriveCapacity/2/AZ32  )</f>
        <v>0</v>
      </c>
      <c r="AS32" s="98">
        <f t="shared" ref="AS32:AS34" si="152" xml:space="preserve"> MIN( MAX( IF(H32&gt;0,-3,H32), $S32-BG32), IF(H32=0,0,IF(H32&lt;=-1,4,H32)), 4 )</f>
        <v>0</v>
      </c>
      <c r="AT32" t="s">
        <v>378</v>
      </c>
      <c r="AU32" s="149" t="str">
        <f>VLOOKUP( $AS32, Tables!$A$184:$H$193,  2 )</f>
        <v>Standard</v>
      </c>
      <c r="AV32" s="149" t="str">
        <f>VLOOKUP( $AS32, Tables!$A$184:$H$193,  3 )</f>
        <v>Std</v>
      </c>
      <c r="AW32" s="90">
        <f>VLOOKUP( $AS32, Tables!$A$184:$H$193, 4 )</f>
        <v>0</v>
      </c>
      <c r="AX32" s="149">
        <f>VLOOKUP( $AS32, Tables!$A$184:$S$193, 18 )</f>
        <v>1</v>
      </c>
      <c r="AY32" s="149">
        <f>VLOOKUP( $AS32, Tables!$A$184:$S$193, 19 )</f>
        <v>1</v>
      </c>
      <c r="AZ32" s="149">
        <f>VLOOKUP( $AS32, Tables!$A$184:$H$193, 7 )</f>
        <v>1</v>
      </c>
      <c r="BA32" s="149">
        <f>VLOOKUP( $AS32, Tables!$A$184:$H$193, 8 )</f>
        <v>1</v>
      </c>
      <c r="BB32" s="88"/>
      <c r="BC32" t="s">
        <v>279</v>
      </c>
      <c r="BD32">
        <f xml:space="preserve"> VLOOKUP( $S32-(H32&lt;0)*MAX(-3,H32), Tables!$A$220:$O$238, $CF32+1 )</f>
        <v>9</v>
      </c>
      <c r="BE32">
        <f t="shared" si="129"/>
        <v>0</v>
      </c>
      <c r="BF32" s="1" t="s">
        <v>306</v>
      </c>
      <c r="BG32">
        <f xml:space="preserve"> VLOOKUP( $BE32, Tables!$A$242:$O$251, $CF32+1 )</f>
        <v>0</v>
      </c>
      <c r="BH32" s="120">
        <f t="shared" si="130"/>
        <v>2400</v>
      </c>
      <c r="BI32" s="133">
        <f xml:space="preserve"> MAX( 1, MIN(9,E32), ROUNDUP( AR32 / ( MAX(1,BJ32)*BH32 ), 0 ) )</f>
        <v>1</v>
      </c>
      <c r="BJ32" s="133">
        <f xml:space="preserve"> MAX( 1, MIN(9,F32), MIN( 9, ROUNDUP( IF(AR32/BH32/MAX(1,E32)&lt;=9,AR32/BH32/MAX(1,E32),SQRT(AR32/BH32/MAX(1,E32))), 0 ) ) )</f>
        <v>1</v>
      </c>
      <c r="BK32" s="120"/>
      <c r="BL32" s="120" t="s">
        <v>976</v>
      </c>
      <c r="BM32" s="177">
        <f t="shared" si="131"/>
        <v>0</v>
      </c>
      <c r="BN32" s="91" t="str">
        <f>VLOOKUP( $BM32, Tables!$A$255:$I$325, 2 )</f>
        <v>-</v>
      </c>
      <c r="BO32" s="53">
        <f>VLOOKUP( $BM32, Tables!$A$255:$I$325, 3 )</f>
        <v>0</v>
      </c>
      <c r="BQ32">
        <f xml:space="preserve"> MAX( ROUNDUP( BM32/100, 0 ) * CB32 + CC32, CD32 ) * (BM32&gt;0)</f>
        <v>0</v>
      </c>
      <c r="BS32" s="240">
        <f t="shared" si="132"/>
        <v>0</v>
      </c>
      <c r="BU32" s="53">
        <f t="shared" si="133"/>
        <v>0</v>
      </c>
      <c r="BW32" s="205">
        <f xml:space="preserve"> IF(BU32&gt;0, BU32 * 2 / MAX(0.5,I32), 1000000 )</f>
        <v>1000000</v>
      </c>
      <c r="BZ32" s="1" t="str">
        <f xml:space="preserve"> VLOOKUP( $A32, Tables!$A$197:$S$210, BZ$29, 0 )</f>
        <v>R</v>
      </c>
      <c r="CA32" s="1">
        <f xml:space="preserve"> VLOOKUP( $A32, Tables!$A$197:$S$210, CA$29, 0 )</f>
        <v>2400</v>
      </c>
      <c r="CB32" s="1">
        <f xml:space="preserve"> VLOOKUP( $A32, Tables!$A$197:$S$210, CB$29, 0 )</f>
        <v>2</v>
      </c>
      <c r="CC32" s="1">
        <f xml:space="preserve"> VLOOKUP( $A32, Tables!$A$197:$S$210, CC$29, 0 )</f>
        <v>0</v>
      </c>
      <c r="CD32" s="1">
        <f xml:space="preserve"> VLOOKUP( $A32, Tables!$A$197:$S$210, CD$29, 0 )</f>
        <v>2</v>
      </c>
      <c r="CE32" s="1">
        <f xml:space="preserve"> VLOOKUP( $A32, Tables!$A$197:$S$210, CE$29, 0 )</f>
        <v>0.5</v>
      </c>
      <c r="CF32" s="1">
        <f xml:space="preserve"> VLOOKUP( $A32, Tables!$A$197:$S$210, CF$29, 0 )</f>
        <v>8</v>
      </c>
      <c r="CG32" s="1">
        <f xml:space="preserve"> VLOOKUP( $A32, Tables!$A$197:$S$210, CG$29, 0 )</f>
        <v>0</v>
      </c>
      <c r="CH32" s="1">
        <f xml:space="preserve"> VLOOKUP( $A32, Tables!$A$197:$S$210, CH$29, 0 )</f>
        <v>0.1</v>
      </c>
      <c r="CI32" s="1">
        <f xml:space="preserve"> VLOOKUP( $A32, Tables!$A$197:$S$210, CI$29, 0 )</f>
        <v>0</v>
      </c>
      <c r="CJ32" s="1">
        <f xml:space="preserve"> VLOOKUP( $A32, Tables!$A$197:$S$210, CJ$29, 0 )</f>
        <v>0</v>
      </c>
      <c r="CK32" s="1">
        <f xml:space="preserve"> VLOOKUP( $A32, Tables!$A$197:$S$210, CK$29, 0 )</f>
        <v>0</v>
      </c>
      <c r="CL32" s="1">
        <f xml:space="preserve"> VLOOKUP( $A32, Tables!$A$197:$S$210, CL$29, 0 )</f>
        <v>0</v>
      </c>
      <c r="CM32" s="1">
        <f xml:space="preserve"> VLOOKUP( $A32, Tables!$A$197:$S$210, CM$29, 0 )</f>
        <v>0</v>
      </c>
      <c r="CN32" s="1">
        <f xml:space="preserve"> VLOOKUP( $A32, Tables!$A$197:$S$210, CN$29, 0 )</f>
        <v>0</v>
      </c>
      <c r="CO32" s="1">
        <f xml:space="preserve"> VLOOKUP( $A32, Tables!$A$197:$S$210, CO$29, 0 )</f>
        <v>0</v>
      </c>
      <c r="CP32" s="1">
        <f xml:space="preserve"> VLOOKUP( $A32, Tables!$A$197:$S$210, CP$29, 0 )</f>
        <v>0</v>
      </c>
      <c r="CQ32" s="1">
        <f xml:space="preserve"> VLOOKUP( $A32, Tables!$A$197:$S$210, CQ$29, 0 )</f>
        <v>0</v>
      </c>
      <c r="CR32" s="1"/>
      <c r="CS32" s="207">
        <f xml:space="preserve"> I32 * (CI32&lt;0)</f>
        <v>0</v>
      </c>
      <c r="CT32" s="208">
        <f t="shared" si="117"/>
        <v>0</v>
      </c>
      <c r="CU32" s="208">
        <f t="shared" si="117"/>
        <v>0</v>
      </c>
      <c r="CV32" s="208">
        <f xml:space="preserve"> $I32 * CI32 * $BA32</f>
        <v>0</v>
      </c>
      <c r="CW32" s="207">
        <f t="shared" ref="CW32" si="153" xml:space="preserve"> $I32 * CJ32</f>
        <v>0</v>
      </c>
      <c r="CX32" s="207">
        <f t="shared" ref="CX32" si="154" xml:space="preserve"> $I32 * CK32</f>
        <v>0</v>
      </c>
      <c r="CY32" s="207">
        <f t="shared" ref="CY32" si="155" xml:space="preserve"> $I32 * CL32</f>
        <v>0</v>
      </c>
      <c r="CZ32" s="207">
        <f t="shared" ref="CZ32" si="156" xml:space="preserve"> $I32 * CM32</f>
        <v>0</v>
      </c>
      <c r="DA32" s="207">
        <f t="shared" ref="DA32" si="157" xml:space="preserve"> $I32 * CN32</f>
        <v>0</v>
      </c>
      <c r="DB32" s="207">
        <f t="shared" ref="DB32" si="158" xml:space="preserve"> $I32 * CO32</f>
        <v>0</v>
      </c>
      <c r="DC32" s="207">
        <f t="shared" ref="DC32" si="159" xml:space="preserve"> $I32 * CP32</f>
        <v>0</v>
      </c>
      <c r="DD32" s="207">
        <f t="shared" ref="DD32" si="160" xml:space="preserve"> $I32 * CQ32</f>
        <v>0</v>
      </c>
      <c r="DE32" s="207">
        <f t="shared" si="134"/>
        <v>0</v>
      </c>
      <c r="DF32" s="207">
        <f xml:space="preserve"> I32 * (CI32&gt;0)</f>
        <v>0</v>
      </c>
      <c r="DH32">
        <f t="shared" si="135"/>
        <v>0</v>
      </c>
      <c r="DI32" t="b">
        <f xml:space="preserve"> OR( CW32&gt;DA$26, CX32&gt;DB$26, CY32&gt;DC$26, CZ32&gt;DD$26 )</f>
        <v>0</v>
      </c>
      <c r="DJ32">
        <f xml:space="preserve"> I32 * ( CM32=0)</f>
        <v>0</v>
      </c>
      <c r="DK32">
        <f t="shared" si="136"/>
        <v>0</v>
      </c>
      <c r="DL32">
        <f ca="1" xml:space="preserve"> IF( $AV32=Tables!$C$189, 5, RANDBETWEEN(1,6)+RANDBETWEEN(1,6)-2 )</f>
        <v>2</v>
      </c>
      <c r="DM32">
        <f ca="1" xml:space="preserve"> IF( $AV32=Tables!$C$189, 0, RANDBETWEEN(1,6)-RANDBETWEEN(1,6)+ VLOOKUP( $AS32, Tables!$A$184:$Q$193,  14 ) )</f>
        <v>-5</v>
      </c>
      <c r="DN32">
        <f ca="1" xml:space="preserve"> IF( $AV32=Tables!$C$189, 0, RANDBETWEEN(1,6)-RANDBETWEEN(1,6)+ VLOOKUP( $AS32, Tables!$A$184:$Q$193,  15 ) )</f>
        <v>-3</v>
      </c>
      <c r="DO32">
        <f ca="1" xml:space="preserve"> IF( $AV32=Tables!$C$189, 0, RANDBETWEEN(1,6)-RANDBETWEEN(1,6)+ VLOOKUP( $AS32, Tables!$A$184:$Q$193,  16 ) )</f>
        <v>3</v>
      </c>
      <c r="DP32">
        <f ca="1" xml:space="preserve"> IF( $AV32=Tables!$C$189, 0, RANDBETWEEN(1,6)-RANDBETWEEN(1,6)+ VLOOKUP( $AS32, Tables!$A$184:$Q$193,  17 ) )</f>
        <v>-3</v>
      </c>
      <c r="DQ32" s="44" t="str">
        <f ca="1" xml:space="preserve"> VLOOKUP( $DL32,Tables!$B$2:$C$36,2)</f>
        <v>2</v>
      </c>
      <c r="DR32" t="str">
        <f t="shared" ref="DR32" ca="1" si="161" xml:space="preserve"> IF( DM32&lt;0, CONCATENATE( DM32 ), CONCATENATE( " ", DM32 ) )</f>
        <v>-5</v>
      </c>
      <c r="DS32" t="str">
        <f t="shared" ref="DS32" ca="1" si="162" xml:space="preserve"> IF( DN32&lt;0, CONCATENATE( DN32 ), CONCATENATE( " ", DN32 ) )</f>
        <v>-3</v>
      </c>
      <c r="DT32" t="str">
        <f t="shared" ref="DT32" ca="1" si="163" xml:space="preserve"> IF( DO32&lt;0, CONCATENATE( DO32 ), CONCATENATE( " ", DO32 ) )</f>
        <v xml:space="preserve"> 3</v>
      </c>
      <c r="DU32" t="str">
        <f t="shared" ref="DU32" ca="1" si="164" xml:space="preserve"> IF( DP32&lt;0, CONCATENATE( DP32 ), CONCATENATE( " ", DP32 ) )</f>
        <v>-3</v>
      </c>
      <c r="DW32" s="194">
        <f xml:space="preserve"> SUM( DX$4:DX32, -DX32 )</f>
        <v>0</v>
      </c>
      <c r="DX32" s="194">
        <v>0</v>
      </c>
      <c r="DY32" s="194">
        <f xml:space="preserve"> SUM( DZ$4:DZ32, -DZ32 )</f>
        <v>0</v>
      </c>
      <c r="DZ32" s="194">
        <v>0</v>
      </c>
      <c r="EA32" s="194">
        <f xml:space="preserve"> SUM( EB$4:EB32, -EB32 )</f>
        <v>0</v>
      </c>
      <c r="EB32" s="194">
        <v>0</v>
      </c>
      <c r="EC32" s="194">
        <f xml:space="preserve"> SUM( ED$4:ED32, -ED32 )</f>
        <v>0</v>
      </c>
      <c r="ED32" s="194">
        <v>0</v>
      </c>
      <c r="EE32" s="194">
        <f xml:space="preserve"> SUM( EF$4:EF32, -EF32 )</f>
        <v>0</v>
      </c>
      <c r="EF32" s="194">
        <v>0</v>
      </c>
      <c r="EG32" s="194">
        <f xml:space="preserve"> SUM( EH$4:EH32, -EH32 )</f>
        <v>0</v>
      </c>
      <c r="EH32" s="194">
        <v>0</v>
      </c>
      <c r="EI32" s="194">
        <f xml:space="preserve"> SUM( EJ$4:EJ32, -EJ32 )</f>
        <v>0</v>
      </c>
      <c r="EJ32" s="194">
        <v>0</v>
      </c>
      <c r="EK32" s="194">
        <f xml:space="preserve"> SUM( EL$4:EL32, -EL32 )</f>
        <v>0</v>
      </c>
      <c r="EL32" s="194">
        <v>0</v>
      </c>
      <c r="EM32" s="194">
        <f xml:space="preserve"> SUM( EN$4:EN32, -EN32 )</f>
        <v>0</v>
      </c>
      <c r="EN32" s="194">
        <v>0</v>
      </c>
      <c r="EO32" s="194">
        <f xml:space="preserve"> SUM( EP$4:EP32, -EP32 )</f>
        <v>0</v>
      </c>
      <c r="EP32" s="194">
        <v>0</v>
      </c>
      <c r="EQ32" s="194">
        <f xml:space="preserve"> SUM( ER$4:ER32, -ER32 )</f>
        <v>0</v>
      </c>
      <c r="ER32" s="194">
        <v>0</v>
      </c>
      <c r="ES32" s="194">
        <f xml:space="preserve"> SUM( ET$4:ET32, -ET32 )</f>
        <v>0</v>
      </c>
      <c r="ET32" s="194">
        <v>0</v>
      </c>
      <c r="EU32" s="194">
        <f xml:space="preserve"> SUM( EV$4:EV32, -EV32 )</f>
        <v>10</v>
      </c>
      <c r="EV32" s="194">
        <f xml:space="preserve"> K32 * (CI32&gt;0)</f>
        <v>0</v>
      </c>
      <c r="EW32" s="194">
        <f xml:space="preserve"> SUM( EX$4:EX32, -EX32 )</f>
        <v>2</v>
      </c>
      <c r="EX32" s="194">
        <f xml:space="preserve"> K32 * (CI32&lt;=0)</f>
        <v>0</v>
      </c>
      <c r="EZ32" t="str">
        <f t="shared" ref="EZ32" si="165">A32</f>
        <v>Rocket</v>
      </c>
      <c r="FB32" s="237">
        <f xml:space="preserve"> SUM( FC$4:FC32, -FC32 )</f>
        <v>1</v>
      </c>
      <c r="FC32" s="237">
        <v>0</v>
      </c>
      <c r="FD32" s="237">
        <f xml:space="preserve"> SUM( FE$4:FE32, -FE32 )</f>
        <v>1</v>
      </c>
      <c r="FE32" s="237">
        <v>0</v>
      </c>
      <c r="FF32" t="str">
        <f t="shared" si="16"/>
        <v>Rocket</v>
      </c>
    </row>
    <row r="33" spans="1:162">
      <c r="A33" s="16" t="s">
        <v>549</v>
      </c>
      <c r="B33" s="8" t="str">
        <f t="shared" si="120"/>
        <v>Std</v>
      </c>
      <c r="C33" s="256" t="str">
        <f xml:space="preserve"> IF(   AND(I33&gt;0,K33&gt;0),   CONCATENATE( BZ33, " Plant ", IF(BI33&gt;1,BI33,""), IF(  AND( DriveFormula&gt;0,OR(INT(D33/100)*100&lt;&gt;D33,D33&gt;2400) ), "Custom", BN33), IF(BJ33&gt;1,BJ33,"")  ),   ""   )</f>
        <v>P Plant A</v>
      </c>
      <c r="D33" s="233">
        <f t="shared" si="121"/>
        <v>100</v>
      </c>
      <c r="E33" s="105">
        <v>0</v>
      </c>
      <c r="F33" s="105">
        <v>0</v>
      </c>
      <c r="G33" s="211">
        <v>-1</v>
      </c>
      <c r="H33" s="221">
        <f xml:space="preserve"> IF(  AND(A33=Tables!A207,IFERROR(Simple!$P$33,0)&lt;0),  IFERROR(Simple!$P$33,0),  2*(MAX($G$30:$G$34)&gt;2) + 2*(MAX($G$30:$G$34)&gt;4) + 2*(ExternalLoad&gt;0) + 4*(Military&gt;1)  )</f>
        <v>0</v>
      </c>
      <c r="I33" s="13">
        <f xml:space="preserve"> ROUNDDOWN(   MIN( IF(G33&gt;=0,ROUNDDOWN(G33,0),DG33), BD33 ) * IF( DriveFormula&lt;0, AZ33, 1 ),   0   )</f>
        <v>2</v>
      </c>
      <c r="J33" s="86">
        <f t="shared" si="122"/>
        <v>1</v>
      </c>
      <c r="K33" s="194">
        <f t="shared" si="123"/>
        <v>4</v>
      </c>
      <c r="L33" s="194">
        <f xml:space="preserve"> K33 * CE33 * AY33 * ( 1 + 0.1*($S33=TL+1) )</f>
        <v>4</v>
      </c>
      <c r="M33" s="12"/>
      <c r="N33" s="48"/>
      <c r="O33" s="48">
        <f t="shared" si="124"/>
        <v>0.11428571428571428</v>
      </c>
      <c r="P33" s="23"/>
      <c r="Q33" s="206"/>
      <c r="R33" t="str">
        <f xml:space="preserve"> IF( AND(G33&lt;&gt;0,OR(I33=BD33,AND(DriveFormula&lt;0, AZ33&lt;100%))), CONCATENATE( "Lim by " &amp; IF( I33=BD33, "TL ", "" ) &amp; IF( AND(DriveFormula&lt;0, AZ33&lt;100%), "Stage ", "" )  ), "" )</f>
        <v/>
      </c>
      <c r="S33" s="223">
        <f t="shared" si="115"/>
        <v>12</v>
      </c>
      <c r="T33" t="str">
        <f ca="1" xml:space="preserve"> IF( K33&gt;0, CONCATENATE( DQ33, DR33, DS33, DT33, DU33 ), "" )</f>
        <v>6 0-2 0 3</v>
      </c>
      <c r="U33" s="49"/>
      <c r="V33" s="49"/>
      <c r="W33" s="49"/>
      <c r="Y33" s="154"/>
      <c r="Z33" s="160" t="str">
        <f t="shared" si="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</v>
      </c>
      <c r="AA33" s="160" t="str">
        <f t="shared" si="126"/>
        <v xml:space="preserve">
P Plant A      P 2, 100 EP                1           4           4      </v>
      </c>
      <c r="AB33" s="161" t="str">
        <f xml:space="preserve"> CONCATENATE( IF(B33&lt;&gt;"Std",CONCATENATE(B33&amp;" "&amp;C33),CONCATENATE(C33&amp;"    ")) &amp; "  " &amp; IF(CM33&gt;0,CONCATENATE(BZ33&amp;"-"&amp;I33),CONCATENATE(BZ33&amp;" "&amp;I33)) &amp; ", " &amp; D33 &amp; " EP" )</f>
        <v>P Plant A      P 2, 100 EP</v>
      </c>
      <c r="AC33" s="160" t="str">
        <f t="shared" si="1"/>
        <v xml:space="preserve">     </v>
      </c>
      <c r="AD33" s="160" t="str">
        <f t="shared" si="2"/>
        <v xml:space="preserve">           </v>
      </c>
      <c r="AE33" s="162" t="str">
        <f t="shared" si="63"/>
        <v>1</v>
      </c>
      <c r="AF33" s="160" t="str">
        <f t="shared" si="3"/>
        <v xml:space="preserve">           </v>
      </c>
      <c r="AG33" s="161" t="str">
        <f t="shared" si="64"/>
        <v>4</v>
      </c>
      <c r="AH33" s="160" t="str">
        <f t="shared" si="53"/>
        <v xml:space="preserve">           </v>
      </c>
      <c r="AI33" s="163" t="str">
        <f t="shared" si="65"/>
        <v>4</v>
      </c>
      <c r="AJ33" s="160" t="str">
        <f t="shared" si="5"/>
        <v xml:space="preserve">      </v>
      </c>
      <c r="AK33" s="163" t="str">
        <f t="shared" si="14"/>
        <v/>
      </c>
      <c r="AL33" s="163"/>
      <c r="AM33" s="153"/>
      <c r="AN33" s="153"/>
      <c r="AO33" s="153">
        <f t="shared" si="128"/>
        <v>1</v>
      </c>
      <c r="AP33" s="194"/>
      <c r="AQ33" s="46" t="s">
        <v>1016</v>
      </c>
      <c r="AR33" s="194">
        <f xml:space="preserve"> IF(  DriveFormula&lt;0, ROUNDUP( I33/AZ33,0)*DriveCapacity/2,  I33*DriveCapacity/2/AZ33  )</f>
        <v>100</v>
      </c>
      <c r="AS33" s="98">
        <f t="shared" si="152"/>
        <v>0</v>
      </c>
      <c r="AT33" t="s">
        <v>378</v>
      </c>
      <c r="AU33" s="8" t="str">
        <f>VLOOKUP( $AS33, Tables!$A$184:$H$193,  2 )</f>
        <v>Standard</v>
      </c>
      <c r="AV33" s="8" t="str">
        <f>VLOOKUP( $AS33, Tables!$A$184:$H$193,  3 )</f>
        <v>Std</v>
      </c>
      <c r="AW33" s="90">
        <f>VLOOKUP( $AS33, Tables!$A$184:$H$193, 4 )</f>
        <v>0</v>
      </c>
      <c r="AX33" s="149">
        <f>VLOOKUP( $AS33, Tables!$A$184:$S$193, 18 )</f>
        <v>1</v>
      </c>
      <c r="AY33" s="149">
        <f>VLOOKUP( $AS33, Tables!$A$184:$S$193, 19 )</f>
        <v>1</v>
      </c>
      <c r="AZ33" s="8">
        <f>VLOOKUP( $AS33, Tables!$A$184:$H$193, 7 )</f>
        <v>1</v>
      </c>
      <c r="BA33" s="8">
        <f>VLOOKUP( $AS33, Tables!$A$184:$H$193, 8 )</f>
        <v>1</v>
      </c>
      <c r="BB33" s="18"/>
      <c r="BC33" t="s">
        <v>279</v>
      </c>
      <c r="BD33">
        <f xml:space="preserve"> VLOOKUP( $S33-(H33&lt;0)*MAX(-3,H33), Tables!$A$220:$O$238, $CF33+1 )</f>
        <v>5</v>
      </c>
      <c r="BE33">
        <f xml:space="preserve"> MIN( IF(G33&gt;=0,ROUNDDOWN(G33,0),DG33), BD33 )</f>
        <v>2</v>
      </c>
      <c r="BF33" s="1" t="s">
        <v>306</v>
      </c>
      <c r="BG33">
        <f xml:space="preserve"> VLOOKUP( $BE33, Tables!$A$242:$O$251, $CF33+1 )</f>
        <v>9</v>
      </c>
      <c r="BH33" s="120">
        <f t="shared" si="130"/>
        <v>2400</v>
      </c>
      <c r="BI33" s="130">
        <f xml:space="preserve"> MAX( 1, MIN(9,E33), ROUNDUP( AR33 / ( MAX(1,BJ33)*BH33 ), 0 ) )</f>
        <v>1</v>
      </c>
      <c r="BJ33" s="130">
        <f xml:space="preserve"> MAX( 1, MIN(9,F33), MIN( 9, ROUNDUP( IF(AR33/BH33/MAX(1,E33)&lt;=9,AR33/BH33/MAX(1,E33),SQRT(AR33/BH33/MAX(1,E33))), 0 ) ) )</f>
        <v>1</v>
      </c>
      <c r="BK33" s="120"/>
      <c r="BL33" s="120" t="s">
        <v>976</v>
      </c>
      <c r="BM33" s="177">
        <f t="shared" si="131"/>
        <v>100</v>
      </c>
      <c r="BN33" s="91" t="str">
        <f>VLOOKUP( $BM33, Tables!$A$255:$I$325, 2 )</f>
        <v>A</v>
      </c>
      <c r="BO33" s="53">
        <f>VLOOKUP( $BM33, Tables!$A$255:$I$325, 3 )</f>
        <v>100</v>
      </c>
      <c r="BQ33">
        <f t="shared" ref="BQ33" si="166" xml:space="preserve"> MAX( ROUNDUP( BM33/100, 0 ) * CB33 + CC33, CD33 ) * (BM33&gt;0)</f>
        <v>4</v>
      </c>
      <c r="BS33" s="240">
        <f t="shared" si="132"/>
        <v>4</v>
      </c>
      <c r="BU33" s="53">
        <f t="shared" si="133"/>
        <v>100</v>
      </c>
      <c r="BW33" s="205">
        <f xml:space="preserve"> IF(BU33&gt;0, BU33 * 2 / MAX(0.5,I33), 1000000 )</f>
        <v>100</v>
      </c>
      <c r="BX33" s="205"/>
      <c r="BZ33" s="1" t="str">
        <f xml:space="preserve"> VLOOKUP( $A33, Tables!$A$197:$S$210, BZ$29, 0 )</f>
        <v>P</v>
      </c>
      <c r="CA33" s="1">
        <f xml:space="preserve"> VLOOKUP( $A33, Tables!$A$197:$S$210, CA$29, 0 )</f>
        <v>2400</v>
      </c>
      <c r="CB33" s="1">
        <f xml:space="preserve"> VLOOKUP( $A33, Tables!$A$197:$S$210, CB$29, 0 )</f>
        <v>3</v>
      </c>
      <c r="CC33" s="1">
        <f xml:space="preserve"> VLOOKUP( $A33, Tables!$A$197:$S$210, CC$29, 0 )</f>
        <v>1</v>
      </c>
      <c r="CD33" s="1">
        <f xml:space="preserve"> VLOOKUP( $A33, Tables!$A$197:$S$210, CD$29, 0 )</f>
        <v>4</v>
      </c>
      <c r="CE33" s="1">
        <f xml:space="preserve"> VLOOKUP( $A33, Tables!$A$197:$S$210, CE$29, 0 )</f>
        <v>1</v>
      </c>
      <c r="CF33" s="1">
        <f xml:space="preserve"> VLOOKUP( $A33, Tables!$A$197:$S$210, CF$29, 0 )</f>
        <v>11</v>
      </c>
      <c r="CG33" s="1">
        <f xml:space="preserve"> VLOOKUP( $A33, Tables!$A$197:$S$210, CG$29, 0 )</f>
        <v>0.01</v>
      </c>
      <c r="CH33" s="1">
        <f xml:space="preserve"> VLOOKUP( $A33, Tables!$A$197:$S$210, CH$29, 0 )</f>
        <v>0</v>
      </c>
      <c r="CI33" s="1">
        <f xml:space="preserve"> VLOOKUP( $A33, Tables!$A$197:$S$210, CI$29, 0 )</f>
        <v>0</v>
      </c>
      <c r="CJ33" s="1">
        <f xml:space="preserve"> VLOOKUP( $A33, Tables!$A$197:$S$210, CJ$29, 0 )</f>
        <v>0</v>
      </c>
      <c r="CK33" s="1">
        <f xml:space="preserve"> VLOOKUP( $A33, Tables!$A$197:$S$210, CK$29, 0 )</f>
        <v>0</v>
      </c>
      <c r="CL33" s="1">
        <f xml:space="preserve"> VLOOKUP( $A33, Tables!$A$197:$S$210, CL$29, 0 )</f>
        <v>0</v>
      </c>
      <c r="CM33" s="1">
        <f xml:space="preserve"> VLOOKUP( $A33, Tables!$A$197:$S$210, CM$29, 0 )</f>
        <v>0</v>
      </c>
      <c r="CN33" s="1">
        <f xml:space="preserve"> VLOOKUP( $A33, Tables!$A$197:$S$210, CN$29, 0 )</f>
        <v>1</v>
      </c>
      <c r="CO33" s="1">
        <f xml:space="preserve"> VLOOKUP( $A33, Tables!$A$197:$S$210, CO$29, 0 )</f>
        <v>1</v>
      </c>
      <c r="CP33" s="1">
        <f xml:space="preserve"> VLOOKUP( $A33, Tables!$A$197:$S$210, CP$29, 0 )</f>
        <v>1</v>
      </c>
      <c r="CQ33" s="1">
        <f xml:space="preserve"> VLOOKUP( $A33, Tables!$A$197:$S$210, CQ$29, 0 )</f>
        <v>1</v>
      </c>
      <c r="CR33" s="1"/>
      <c r="CS33" s="207">
        <f xml:space="preserve"> I33 * (CI33&lt;0)</f>
        <v>0</v>
      </c>
      <c r="CT33" s="208">
        <f t="shared" si="117"/>
        <v>0.02</v>
      </c>
      <c r="CU33" s="208">
        <f t="shared" si="117"/>
        <v>0</v>
      </c>
      <c r="CV33" s="208">
        <f xml:space="preserve"> $I33 * CI33 * $BA33</f>
        <v>0</v>
      </c>
      <c r="CW33" s="207"/>
      <c r="CX33" s="207"/>
      <c r="CY33" s="207"/>
      <c r="CZ33" s="207"/>
      <c r="DA33" s="207">
        <f t="shared" si="118"/>
        <v>2</v>
      </c>
      <c r="DB33" s="207">
        <f t="shared" si="118"/>
        <v>2</v>
      </c>
      <c r="DC33" s="207">
        <f t="shared" si="118"/>
        <v>2</v>
      </c>
      <c r="DD33" s="207">
        <f t="shared" si="118"/>
        <v>2</v>
      </c>
      <c r="DE33" s="207">
        <f t="shared" si="134"/>
        <v>0</v>
      </c>
      <c r="DF33" s="207">
        <f xml:space="preserve"> I33 * (CI33&gt;0)</f>
        <v>0</v>
      </c>
      <c r="DG33">
        <f xml:space="preserve"> MAX(  CW$26/MAX(0.001,CN33)*(CN33&gt;0),  CX$26/MAX(0.001,CO33)*(CO33&gt;0),  CY$26/MAX(0.001,CP33)*(CP33&gt;0),  CZ$26/MAX(0.001,CQ33)*(CQ33&gt;0)  )</f>
        <v>2</v>
      </c>
      <c r="DH33">
        <f t="shared" si="135"/>
        <v>5</v>
      </c>
      <c r="DK33">
        <f t="shared" si="136"/>
        <v>5</v>
      </c>
      <c r="DL33">
        <f ca="1" xml:space="preserve"> IF( $AV33=Tables!$C$189, 5, RANDBETWEEN(1,6)+RANDBETWEEN(1,6)-2 )</f>
        <v>6</v>
      </c>
      <c r="DM33">
        <f ca="1" xml:space="preserve"> IF( $AV33=Tables!$C$189, 0, RANDBETWEEN(1,6)-RANDBETWEEN(1,6)+ VLOOKUP( $AS33, Tables!$A$184:$Q$193,  14 ) )</f>
        <v>0</v>
      </c>
      <c r="DN33">
        <f ca="1" xml:space="preserve"> IF( $AV33=Tables!$C$189, 0, RANDBETWEEN(1,6)-RANDBETWEEN(1,6)+ VLOOKUP( $AS33, Tables!$A$184:$Q$193,  15 ) )</f>
        <v>-2</v>
      </c>
      <c r="DO33">
        <f ca="1" xml:space="preserve"> IF( $AV33=Tables!$C$189, 0, RANDBETWEEN(1,6)-RANDBETWEEN(1,6)+ VLOOKUP( $AS33, Tables!$A$184:$Q$193,  16 ) )</f>
        <v>0</v>
      </c>
      <c r="DP33">
        <f ca="1" xml:space="preserve"> IF( $AV33=Tables!$C$189, 0, RANDBETWEEN(1,6)-RANDBETWEEN(1,6)+ VLOOKUP( $AS33, Tables!$A$184:$Q$193,  17 ) )</f>
        <v>3</v>
      </c>
      <c r="DQ33" s="44" t="str">
        <f ca="1" xml:space="preserve"> VLOOKUP( $DL33,Tables!$B$2:$C$36,2)</f>
        <v>6</v>
      </c>
      <c r="DR33" t="str">
        <f t="shared" ca="1" si="137"/>
        <v xml:space="preserve"> 0</v>
      </c>
      <c r="DS33" t="str">
        <f t="shared" ca="1" si="138"/>
        <v>-2</v>
      </c>
      <c r="DT33" t="str">
        <f t="shared" ca="1" si="139"/>
        <v xml:space="preserve"> 0</v>
      </c>
      <c r="DU33" t="str">
        <f t="shared" ca="1" si="140"/>
        <v xml:space="preserve"> 3</v>
      </c>
      <c r="DW33" s="194">
        <f xml:space="preserve"> SUM( DX$4:DX33, -DX33 )</f>
        <v>0</v>
      </c>
      <c r="DX33" s="194">
        <v>0</v>
      </c>
      <c r="DY33" s="194">
        <f xml:space="preserve"> SUM( DZ$4:DZ33, -DZ33 )</f>
        <v>0</v>
      </c>
      <c r="DZ33" s="194">
        <v>0</v>
      </c>
      <c r="EA33" s="194">
        <f xml:space="preserve"> SUM( EB$4:EB33, -EB33 )</f>
        <v>0</v>
      </c>
      <c r="EB33" s="194">
        <v>0</v>
      </c>
      <c r="EC33" s="194">
        <f xml:space="preserve"> SUM( ED$4:ED33, -ED33 )</f>
        <v>0</v>
      </c>
      <c r="ED33" s="194">
        <v>0</v>
      </c>
      <c r="EE33" s="194">
        <f xml:space="preserve"> SUM( EF$4:EF33, -EF33 )</f>
        <v>0</v>
      </c>
      <c r="EF33" s="194">
        <v>0</v>
      </c>
      <c r="EG33" s="194">
        <f xml:space="preserve"> SUM( EH$4:EH33, -EH33 )</f>
        <v>0</v>
      </c>
      <c r="EH33" s="194">
        <v>0</v>
      </c>
      <c r="EI33" s="194">
        <f xml:space="preserve"> SUM( EJ$4:EJ33, -EJ33 )</f>
        <v>0</v>
      </c>
      <c r="EJ33" s="194">
        <v>0</v>
      </c>
      <c r="EK33" s="194">
        <f xml:space="preserve"> SUM( EL$4:EL33, -EL33 )</f>
        <v>0</v>
      </c>
      <c r="EL33" s="194">
        <v>0</v>
      </c>
      <c r="EM33" s="194">
        <f xml:space="preserve"> SUM( EN$4:EN33, -EN33 )</f>
        <v>0</v>
      </c>
      <c r="EN33" s="194">
        <v>0</v>
      </c>
      <c r="EO33" s="194">
        <f xml:space="preserve"> SUM( EP$4:EP33, -EP33 )</f>
        <v>0</v>
      </c>
      <c r="EP33" s="194">
        <v>0</v>
      </c>
      <c r="EQ33" s="194">
        <f xml:space="preserve"> SUM( ER$4:ER33, -ER33 )</f>
        <v>0</v>
      </c>
      <c r="ER33" s="194">
        <v>0</v>
      </c>
      <c r="ES33" s="194">
        <f xml:space="preserve"> SUM( ET$4:ET33, -ET33 )</f>
        <v>0</v>
      </c>
      <c r="ET33" s="194">
        <v>0</v>
      </c>
      <c r="EU33" s="194">
        <f xml:space="preserve"> SUM( EV$4:EV33, -EV33 )</f>
        <v>10</v>
      </c>
      <c r="EV33" s="194">
        <f xml:space="preserve"> K33 * (CI33&gt;0)</f>
        <v>0</v>
      </c>
      <c r="EW33" s="194">
        <f xml:space="preserve"> SUM( EX$4:EX33, -EX33 )</f>
        <v>2</v>
      </c>
      <c r="EX33" s="194">
        <f xml:space="preserve"> K33 * (CI33&lt;=0)</f>
        <v>4</v>
      </c>
      <c r="EZ33" t="str">
        <f t="shared" si="92"/>
        <v>Fusion</v>
      </c>
      <c r="FB33" s="237">
        <f xml:space="preserve"> SUM( FC$4:FC33, -FC33 )</f>
        <v>1</v>
      </c>
      <c r="FC33" s="237">
        <v>0</v>
      </c>
      <c r="FD33" s="237">
        <f xml:space="preserve"> SUM( FE$4:FE33, -FE33 )</f>
        <v>1</v>
      </c>
      <c r="FE33" s="237">
        <v>0</v>
      </c>
      <c r="FF33" t="str">
        <f t="shared" si="16"/>
        <v>Fusion</v>
      </c>
    </row>
    <row r="34" spans="1:162">
      <c r="A34" s="16" t="s">
        <v>627</v>
      </c>
      <c r="B34" s="149" t="str">
        <f t="shared" ref="B34" si="167">AV34</f>
        <v>Std</v>
      </c>
      <c r="C34" s="256" t="str">
        <f xml:space="preserve"> IF(   AND(I34&gt;0,K34&gt;0),   CONCATENATE( BZ34, " Plant ", IF(BI34&gt;1,BI34,""), IF(  AND( DriveFormula&gt;0,OR(INT(D34/100)*100&lt;&gt;D34,D34&gt;2400) ), "Custom", BN34), IF(BJ34&gt;1,BJ34,"")  ),   ""   )</f>
        <v/>
      </c>
      <c r="D34" s="233">
        <f t="shared" si="121"/>
        <v>0</v>
      </c>
      <c r="E34" s="199">
        <v>0</v>
      </c>
      <c r="F34" s="199">
        <v>0</v>
      </c>
      <c r="G34" s="211">
        <v>0</v>
      </c>
      <c r="H34" s="221">
        <f t="shared" si="143"/>
        <v>0</v>
      </c>
      <c r="I34" s="13">
        <f xml:space="preserve"> ROUNDDOWN(   MIN( IF(G34&gt;=0,ROUNDDOWN(G34,0),DG34), BD34 ) * IF( DriveFormula&lt;0, AZ34, 1 ),   0   )</f>
        <v>0</v>
      </c>
      <c r="J34" s="86">
        <f t="shared" ref="J34" si="168">1*(I34&gt;0)</f>
        <v>0</v>
      </c>
      <c r="K34" s="194">
        <f t="shared" si="123"/>
        <v>0</v>
      </c>
      <c r="L34" s="194">
        <f xml:space="preserve"> K34 * CE34 * AY34 * ( 1 + 0.1*($S34=TL+1) )</f>
        <v>0</v>
      </c>
      <c r="M34" s="191"/>
      <c r="N34" s="191"/>
      <c r="O34" s="191">
        <f t="shared" ref="O34" si="169">K34/35</f>
        <v>0</v>
      </c>
      <c r="P34" s="49"/>
      <c r="Q34" s="206"/>
      <c r="R34" t="str">
        <f xml:space="preserve"> IF( AND(G34&lt;&gt;0,OR(I34=BD34,AND(DriveFormula&lt;0, AZ34&lt;100%))), CONCATENATE( "Lim by " &amp; IF( I34=BD34, "TL ", "" ) &amp; IF( AND(DriveFormula&lt;0, AZ34&lt;100%), "Stage ", "" )  ), "" )</f>
        <v/>
      </c>
      <c r="S34" s="223">
        <f t="shared" si="115"/>
        <v>12</v>
      </c>
      <c r="T34" t="str">
        <f xml:space="preserve"> IF( K34&gt;0, CONCATENATE( DQ34, DR34, DS34, DT34, DU34 ), "" )</f>
        <v/>
      </c>
      <c r="U34" s="49"/>
      <c r="V34" s="49"/>
      <c r="W34" s="49"/>
      <c r="Y34" s="154"/>
      <c r="Z34" s="160" t="str">
        <f t="shared" ref="Z34:Z66" si="170" xml:space="preserve"> CONCATENATE( INDEX($Z$1:$Z$144,ROW(Z34)-1),AA34 )</f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</v>
      </c>
      <c r="AA34" s="160" t="str">
        <f t="shared" si="126"/>
        <v/>
      </c>
      <c r="AB34" s="161" t="str">
        <f xml:space="preserve"> CONCATENATE( IF(B34&lt;&gt;"Std",CONCATENATE(B34&amp;" "&amp;C34),CONCATENATE(C34&amp;"    ")) &amp; "  " &amp; IF(CM34&gt;0,CONCATENATE(BZ34&amp;"-"&amp;I34),CONCATENATE(BZ34&amp;" "&amp;I34)) &amp; ", " &amp; D34 &amp; " EP" )</f>
        <v xml:space="preserve">      U 0, 0 EP</v>
      </c>
      <c r="AC34" s="160" t="str">
        <f t="shared" si="1"/>
        <v xml:space="preserve">                </v>
      </c>
      <c r="AD34" s="160" t="str">
        <f t="shared" ref="AD34" si="171" xml:space="preserve"> CONCATENATE( REPT(" ",MAX(0,12-LEN(AE34))) )</f>
        <v xml:space="preserve">           </v>
      </c>
      <c r="AE34" s="162" t="str">
        <f t="shared" ref="AE34" si="172" xml:space="preserve"> CONCATENATE( J34 )</f>
        <v>0</v>
      </c>
      <c r="AF34" s="160" t="str">
        <f t="shared" ref="AF34" si="173" xml:space="preserve"> CONCATENATE( REPT(" ",MAX(0,12-LEN(AG34))) )</f>
        <v xml:space="preserve">           </v>
      </c>
      <c r="AG34" s="161" t="str">
        <f t="shared" ref="AG34" si="174" xml:space="preserve"> CONCATENATE( K34 )</f>
        <v>0</v>
      </c>
      <c r="AH34" s="160" t="str">
        <f t="shared" ref="AH34" si="175" xml:space="preserve"> CONCATENATE( REPT(" ",MAX(0,12-LEN(AI34))) )</f>
        <v xml:space="preserve">           </v>
      </c>
      <c r="AI34" s="163" t="str">
        <f t="shared" ref="AI34" si="176" xml:space="preserve"> CONCATENATE( L34 )</f>
        <v>0</v>
      </c>
      <c r="AJ34" s="160" t="str">
        <f t="shared" si="5"/>
        <v xml:space="preserve">      </v>
      </c>
      <c r="AK34" s="163" t="str">
        <f t="shared" si="14"/>
        <v/>
      </c>
      <c r="AL34" s="163"/>
      <c r="AM34" s="153"/>
      <c r="AN34" s="153"/>
      <c r="AO34" s="153">
        <f t="shared" si="128"/>
        <v>0</v>
      </c>
      <c r="AP34" s="194"/>
      <c r="AQ34" s="194" t="s">
        <v>1016</v>
      </c>
      <c r="AR34" s="194">
        <f xml:space="preserve"> IF(  DriveFormula&lt;0, ROUNDUP( I34/AZ34,0)*DriveCapacity/2,  I34*DriveCapacity/2/AZ34  )</f>
        <v>0</v>
      </c>
      <c r="AS34" s="98">
        <f t="shared" si="152"/>
        <v>0</v>
      </c>
      <c r="AT34" t="s">
        <v>378</v>
      </c>
      <c r="AU34" s="149" t="str">
        <f>VLOOKUP( $AS34, Tables!$A$184:$H$193,  2 )</f>
        <v>Standard</v>
      </c>
      <c r="AV34" s="149" t="str">
        <f>VLOOKUP( $AS34, Tables!$A$184:$H$193,  3 )</f>
        <v>Std</v>
      </c>
      <c r="AW34" s="90">
        <f>VLOOKUP( $AS34, Tables!$A$184:$H$193, 4 )</f>
        <v>0</v>
      </c>
      <c r="AX34" s="149">
        <f>VLOOKUP( $AS34, Tables!$A$184:$S$193, 18 )</f>
        <v>1</v>
      </c>
      <c r="AY34" s="149">
        <f>VLOOKUP( $AS34, Tables!$A$184:$S$193, 19 )</f>
        <v>1</v>
      </c>
      <c r="AZ34" s="149">
        <f>VLOOKUP( $AS34, Tables!$A$184:$H$193, 7 )</f>
        <v>1</v>
      </c>
      <c r="BA34" s="149">
        <f>VLOOKUP( $AS34, Tables!$A$184:$H$193, 8 )</f>
        <v>1</v>
      </c>
      <c r="BB34" s="88"/>
      <c r="BC34" t="s">
        <v>279</v>
      </c>
      <c r="BD34">
        <f xml:space="preserve"> VLOOKUP( $S34-(H34&lt;0)*MAX(-3,H34), Tables!$A$220:$O$238, $CF34+1 )</f>
        <v>6</v>
      </c>
      <c r="BE34">
        <f xml:space="preserve"> MIN( IF(G34&gt;=0,ROUNDDOWN(G34,0),DG34), BD34 )</f>
        <v>0</v>
      </c>
      <c r="BF34" s="1" t="s">
        <v>306</v>
      </c>
      <c r="BG34">
        <f xml:space="preserve"> VLOOKUP( $BE34, Tables!$A$242:$O$251, $CF34+1 )</f>
        <v>0</v>
      </c>
      <c r="BH34" s="120">
        <f t="shared" si="130"/>
        <v>2400</v>
      </c>
      <c r="BI34" s="133">
        <f xml:space="preserve"> MAX( 1, MIN(9,E34), ROUNDUP( AR34 / ( MAX(1,BJ34)*BH34 ), 0 ) )</f>
        <v>1</v>
      </c>
      <c r="BJ34" s="133">
        <f xml:space="preserve"> MAX( 1, MIN(9,F34), MIN( 9, ROUNDUP( IF(AR34/BH34/MAX(1,E34)&lt;=9,AR34/BH34/MAX(1,E34),SQRT(AR34/BH34/MAX(1,E34))), 0 ) ) )</f>
        <v>1</v>
      </c>
      <c r="BK34" s="120"/>
      <c r="BL34" s="120" t="s">
        <v>976</v>
      </c>
      <c r="BM34" s="177">
        <f t="shared" si="131"/>
        <v>0</v>
      </c>
      <c r="BN34" s="91" t="str">
        <f>VLOOKUP( $BM34, Tables!$A$255:$I$325, 2 )</f>
        <v>-</v>
      </c>
      <c r="BO34" s="53">
        <f>VLOOKUP( $BM34, Tables!$A$255:$I$325, 3 )</f>
        <v>0</v>
      </c>
      <c r="BQ34">
        <f t="shared" ref="BQ34" si="177" xml:space="preserve"> MAX( ROUNDUP( BM34/100, 0 ) * CB34 + CC34, CD34 ) * (BM34&gt;0)</f>
        <v>0</v>
      </c>
      <c r="BS34" s="240">
        <f t="shared" si="132"/>
        <v>0</v>
      </c>
      <c r="BU34" s="53">
        <f t="shared" si="133"/>
        <v>0</v>
      </c>
      <c r="BW34" s="205">
        <f xml:space="preserve"> IF(BU34&gt;0, BU34 * 2 / MAX(0.5,I34), 1000000 )</f>
        <v>1000000</v>
      </c>
      <c r="BX34" s="205"/>
      <c r="BZ34" s="1" t="str">
        <f xml:space="preserve"> VLOOKUP( $A34, Tables!$A$197:$S$210, BZ$29, 0 )</f>
        <v>U</v>
      </c>
      <c r="CA34" s="1">
        <f xml:space="preserve"> VLOOKUP( $A34, Tables!$A$197:$S$210, CA$29, 0 )</f>
        <v>2400</v>
      </c>
      <c r="CB34" s="1">
        <f xml:space="preserve"> VLOOKUP( $A34, Tables!$A$197:$S$210, CB$29, 0 )</f>
        <v>5</v>
      </c>
      <c r="CC34" s="1">
        <f xml:space="preserve"> VLOOKUP( $A34, Tables!$A$197:$S$210, CC$29, 0 )</f>
        <v>10</v>
      </c>
      <c r="CD34" s="1">
        <f xml:space="preserve"> VLOOKUP( $A34, Tables!$A$197:$S$210, CD$29, 0 )</f>
        <v>15</v>
      </c>
      <c r="CE34" s="1">
        <f xml:space="preserve"> VLOOKUP( $A34, Tables!$A$197:$S$210, CE$29, 0 )</f>
        <v>1.5</v>
      </c>
      <c r="CF34" s="1">
        <f xml:space="preserve"> VLOOKUP( $A34, Tables!$A$197:$S$210, CF$29, 0 )</f>
        <v>13</v>
      </c>
      <c r="CG34" s="1">
        <f xml:space="preserve"> VLOOKUP( $A34, Tables!$A$197:$S$210, CG$29, 0 )</f>
        <v>0</v>
      </c>
      <c r="CH34" s="1">
        <f xml:space="preserve"> VLOOKUP( $A34, Tables!$A$197:$S$210, CH$29, 0 )</f>
        <v>0</v>
      </c>
      <c r="CI34" s="1">
        <f xml:space="preserve"> VLOOKUP( $A34, Tables!$A$197:$S$210, CI$29, 0 )</f>
        <v>0</v>
      </c>
      <c r="CJ34" s="1">
        <f xml:space="preserve"> VLOOKUP( $A34, Tables!$A$197:$S$210, CJ$29, 0 )</f>
        <v>0</v>
      </c>
      <c r="CK34" s="1">
        <f xml:space="preserve"> VLOOKUP( $A34, Tables!$A$197:$S$210, CK$29, 0 )</f>
        <v>0</v>
      </c>
      <c r="CL34" s="1">
        <f xml:space="preserve"> VLOOKUP( $A34, Tables!$A$197:$S$210, CL$29, 0 )</f>
        <v>0</v>
      </c>
      <c r="CM34" s="1">
        <f xml:space="preserve"> VLOOKUP( $A34, Tables!$A$197:$S$210, CM$29, 0 )</f>
        <v>0</v>
      </c>
      <c r="CN34" s="1">
        <f xml:space="preserve"> VLOOKUP( $A34, Tables!$A$197:$S$210, CN$29, 0 )</f>
        <v>1</v>
      </c>
      <c r="CO34" s="1">
        <f xml:space="preserve"> VLOOKUP( $A34, Tables!$A$197:$S$210, CO$29, 0 )</f>
        <v>0</v>
      </c>
      <c r="CP34" s="1">
        <f xml:space="preserve"> VLOOKUP( $A34, Tables!$A$197:$S$210, CP$29, 0 )</f>
        <v>1</v>
      </c>
      <c r="CQ34" s="1">
        <f xml:space="preserve"> VLOOKUP( $A34, Tables!$A$197:$S$210, CQ$29, 0 )</f>
        <v>0</v>
      </c>
      <c r="CR34" s="1"/>
      <c r="CS34" s="207">
        <f xml:space="preserve"> I34 * (CI34&lt;0)</f>
        <v>0</v>
      </c>
      <c r="CT34" s="208">
        <f t="shared" si="117"/>
        <v>0</v>
      </c>
      <c r="CU34" s="208">
        <f t="shared" si="117"/>
        <v>0</v>
      </c>
      <c r="CV34" s="208">
        <f xml:space="preserve"> $I34 * CI34 * $BA34</f>
        <v>0</v>
      </c>
      <c r="CW34" s="207"/>
      <c r="CX34" s="207"/>
      <c r="CY34" s="207"/>
      <c r="CZ34" s="207"/>
      <c r="DA34" s="207">
        <f t="shared" ref="DA34" si="178" xml:space="preserve"> $I34 * CN34</f>
        <v>0</v>
      </c>
      <c r="DB34" s="207">
        <f t="shared" ref="DB34" si="179" xml:space="preserve"> $I34 * CO34</f>
        <v>0</v>
      </c>
      <c r="DC34" s="207">
        <f t="shared" ref="DC34" si="180" xml:space="preserve"> $I34 * CP34</f>
        <v>0</v>
      </c>
      <c r="DD34" s="207">
        <f t="shared" ref="DD34" si="181" xml:space="preserve"> $I34 * CQ34</f>
        <v>0</v>
      </c>
      <c r="DE34" s="207">
        <f t="shared" si="134"/>
        <v>0</v>
      </c>
      <c r="DF34" s="207">
        <f xml:space="preserve"> I34 * (CI34&gt;0)</f>
        <v>0</v>
      </c>
      <c r="DG34">
        <f xml:space="preserve"> MAX(  CW$26/MAX(0.001,CN34)*(CN34&gt;0),  CX$26/MAX(0.001,CO34)*(CO34&gt;0),  CY$26/MAX(0.001,CP34)*(CP34&gt;0),  CZ$26/MAX(0.001,CQ34)*(CQ34&gt;0)  )</f>
        <v>1</v>
      </c>
      <c r="DH34">
        <f t="shared" si="135"/>
        <v>0</v>
      </c>
      <c r="DK34">
        <f t="shared" si="136"/>
        <v>0</v>
      </c>
      <c r="DL34">
        <f ca="1" xml:space="preserve"> IF( $AV34=Tables!$C$189, 5, RANDBETWEEN(1,6)+RANDBETWEEN(1,6)-2 )</f>
        <v>5</v>
      </c>
      <c r="DM34">
        <f ca="1" xml:space="preserve"> IF( $AV34=Tables!$C$189, 0, RANDBETWEEN(1,6)-RANDBETWEEN(1,6)+ VLOOKUP( $AS34, Tables!$A$184:$Q$193,  14 ) )</f>
        <v>2</v>
      </c>
      <c r="DN34">
        <f ca="1" xml:space="preserve"> IF( $AV34=Tables!$C$189, 0, RANDBETWEEN(1,6)-RANDBETWEEN(1,6)+ VLOOKUP( $AS34, Tables!$A$184:$Q$193,  15 ) )</f>
        <v>3</v>
      </c>
      <c r="DO34">
        <f ca="1" xml:space="preserve"> IF( $AV34=Tables!$C$189, 0, RANDBETWEEN(1,6)-RANDBETWEEN(1,6)+ VLOOKUP( $AS34, Tables!$A$184:$Q$193,  16 ) )</f>
        <v>3</v>
      </c>
      <c r="DP34">
        <f ca="1" xml:space="preserve"> IF( $AV34=Tables!$C$189, 0, RANDBETWEEN(1,6)-RANDBETWEEN(1,6)+ VLOOKUP( $AS34, Tables!$A$184:$Q$193,  17 ) )</f>
        <v>-1</v>
      </c>
      <c r="DQ34" s="44" t="str">
        <f ca="1" xml:space="preserve"> VLOOKUP( $DL34,Tables!$B$2:$C$36,2)</f>
        <v>5</v>
      </c>
      <c r="DR34" t="str">
        <f t="shared" ref="DR34" ca="1" si="182" xml:space="preserve"> IF( DM34&lt;0, CONCATENATE( DM34 ), CONCATENATE( " ", DM34 ) )</f>
        <v xml:space="preserve"> 2</v>
      </c>
      <c r="DS34" t="str">
        <f t="shared" ref="DS34" ca="1" si="183" xml:space="preserve"> IF( DN34&lt;0, CONCATENATE( DN34 ), CONCATENATE( " ", DN34 ) )</f>
        <v xml:space="preserve"> 3</v>
      </c>
      <c r="DT34" t="str">
        <f t="shared" ref="DT34" ca="1" si="184" xml:space="preserve"> IF( DO34&lt;0, CONCATENATE( DO34 ), CONCATENATE( " ", DO34 ) )</f>
        <v xml:space="preserve"> 3</v>
      </c>
      <c r="DU34" t="str">
        <f t="shared" ref="DU34" ca="1" si="185" xml:space="preserve"> IF( DP34&lt;0, CONCATENATE( DP34 ), CONCATENATE( " ", DP34 ) )</f>
        <v>-1</v>
      </c>
      <c r="DW34" s="194">
        <f xml:space="preserve"> SUM( DX$4:DX34, -DX34 )</f>
        <v>0</v>
      </c>
      <c r="DX34" s="194">
        <v>0</v>
      </c>
      <c r="DY34" s="194">
        <f xml:space="preserve"> SUM( DZ$4:DZ34, -DZ34 )</f>
        <v>0</v>
      </c>
      <c r="DZ34" s="194">
        <v>0</v>
      </c>
      <c r="EA34" s="194">
        <f xml:space="preserve"> SUM( EB$4:EB34, -EB34 )</f>
        <v>0</v>
      </c>
      <c r="EB34" s="194">
        <v>0</v>
      </c>
      <c r="EC34" s="194">
        <f xml:space="preserve"> SUM( ED$4:ED34, -ED34 )</f>
        <v>0</v>
      </c>
      <c r="ED34" s="194">
        <v>0</v>
      </c>
      <c r="EE34" s="194">
        <f xml:space="preserve"> SUM( EF$4:EF34, -EF34 )</f>
        <v>0</v>
      </c>
      <c r="EF34" s="194">
        <v>0</v>
      </c>
      <c r="EG34" s="194">
        <f xml:space="preserve"> SUM( EH$4:EH34, -EH34 )</f>
        <v>0</v>
      </c>
      <c r="EH34" s="194">
        <v>0</v>
      </c>
      <c r="EI34" s="194">
        <f xml:space="preserve"> SUM( EJ$4:EJ34, -EJ34 )</f>
        <v>0</v>
      </c>
      <c r="EJ34" s="194">
        <v>0</v>
      </c>
      <c r="EK34" s="194">
        <f xml:space="preserve"> SUM( EL$4:EL34, -EL34 )</f>
        <v>0</v>
      </c>
      <c r="EL34" s="194">
        <v>0</v>
      </c>
      <c r="EM34" s="194">
        <f xml:space="preserve"> SUM( EN$4:EN34, -EN34 )</f>
        <v>0</v>
      </c>
      <c r="EN34" s="194">
        <v>0</v>
      </c>
      <c r="EO34" s="194">
        <f xml:space="preserve"> SUM( EP$4:EP34, -EP34 )</f>
        <v>0</v>
      </c>
      <c r="EP34" s="194">
        <v>0</v>
      </c>
      <c r="EQ34" s="194">
        <f xml:space="preserve"> SUM( ER$4:ER34, -ER34 )</f>
        <v>0</v>
      </c>
      <c r="ER34" s="194">
        <v>0</v>
      </c>
      <c r="ES34" s="194">
        <f xml:space="preserve"> SUM( ET$4:ET34, -ET34 )</f>
        <v>0</v>
      </c>
      <c r="ET34" s="194">
        <v>0</v>
      </c>
      <c r="EU34" s="194">
        <f xml:space="preserve"> SUM( EV$4:EV34, -EV34 )</f>
        <v>10</v>
      </c>
      <c r="EV34" s="194">
        <f xml:space="preserve"> K34 * (CI34&gt;0)</f>
        <v>0</v>
      </c>
      <c r="EW34" s="194">
        <f xml:space="preserve"> SUM( EX$4:EX34, -EX34 )</f>
        <v>6</v>
      </c>
      <c r="EX34" s="194">
        <f xml:space="preserve"> K34 * (CI34&lt;=0)</f>
        <v>0</v>
      </c>
      <c r="EZ34" t="str">
        <f t="shared" ref="EZ34" si="186">A34</f>
        <v>Fission</v>
      </c>
      <c r="FB34" s="237">
        <f xml:space="preserve"> SUM( FC$4:FC34, -FC34 )</f>
        <v>1</v>
      </c>
      <c r="FC34" s="237">
        <v>0</v>
      </c>
      <c r="FD34" s="237">
        <f xml:space="preserve"> SUM( FE$4:FE34, -FE34 )</f>
        <v>1</v>
      </c>
      <c r="FE34" s="237">
        <v>0</v>
      </c>
      <c r="FF34" t="str">
        <f t="shared" si="16"/>
        <v>Fission</v>
      </c>
    </row>
    <row r="35" spans="1:162">
      <c r="C35" s="15"/>
      <c r="D35" s="15"/>
      <c r="E35" s="66"/>
      <c r="F35" s="66"/>
      <c r="G35" s="3"/>
      <c r="H35" s="26"/>
      <c r="I35" s="4"/>
      <c r="J35" s="3"/>
      <c r="K35" s="51"/>
      <c r="L35" s="51"/>
      <c r="M35" s="3"/>
      <c r="N35" s="48"/>
      <c r="O35" s="3"/>
      <c r="S35" s="223"/>
      <c r="Z35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                                                                         </v>
      </c>
      <c r="AA35" s="160" t="str">
        <f xml:space="preserve"> IF( OR(TRUE), CONCATENATE( newline &amp; AB35 &amp; AC35 &amp; AD35 &amp; AE35 &amp; AF35 &amp; AG35 &amp; AH35 &amp; AI35 &amp; AJ35 &amp; AK35 ), "" )</f>
        <v xml:space="preserve">
                                                                         </v>
      </c>
      <c r="AB35" s="161" t="str">
        <f t="shared" si="74"/>
        <v/>
      </c>
      <c r="AC35" s="160" t="str">
        <f t="shared" si="1"/>
        <v xml:space="preserve">                               </v>
      </c>
      <c r="AD35" s="160" t="str">
        <f t="shared" si="2"/>
        <v xml:space="preserve">            </v>
      </c>
      <c r="AE35" s="162" t="str">
        <f t="shared" si="63"/>
        <v/>
      </c>
      <c r="AF35" s="160" t="str">
        <f t="shared" si="3"/>
        <v xml:space="preserve">            </v>
      </c>
      <c r="AG35" s="161" t="str">
        <f t="shared" si="64"/>
        <v/>
      </c>
      <c r="AH35" s="160" t="str">
        <f t="shared" si="53"/>
        <v xml:space="preserve">            </v>
      </c>
      <c r="AI35" s="163" t="str">
        <f t="shared" si="65"/>
        <v/>
      </c>
      <c r="AJ35" s="160" t="str">
        <f t="shared" si="5"/>
        <v xml:space="preserve">      </v>
      </c>
      <c r="AK35" s="163" t="str">
        <f t="shared" si="14"/>
        <v/>
      </c>
      <c r="AL35" s="163"/>
      <c r="AM35" s="153"/>
      <c r="AN35" s="153"/>
      <c r="AO35" s="194"/>
      <c r="AP35" s="153"/>
      <c r="DL35"/>
      <c r="DQ35" s="44"/>
      <c r="DW35" s="194">
        <f xml:space="preserve"> SUM( DX$4:DX35, -DX35 )</f>
        <v>0</v>
      </c>
      <c r="DX35" s="194">
        <v>0</v>
      </c>
      <c r="DY35" s="194">
        <f xml:space="preserve"> SUM( DZ$4:DZ35, -DZ35 )</f>
        <v>0</v>
      </c>
      <c r="DZ35" s="194">
        <v>0</v>
      </c>
      <c r="EA35" s="194">
        <f xml:space="preserve"> SUM( EB$4:EB35, -EB35 )</f>
        <v>0</v>
      </c>
      <c r="EB35" s="194">
        <v>0</v>
      </c>
      <c r="EC35" s="194">
        <f xml:space="preserve"> SUM( ED$4:ED35, -ED35 )</f>
        <v>0</v>
      </c>
      <c r="ED35" s="194">
        <v>0</v>
      </c>
      <c r="EE35" s="194">
        <f xml:space="preserve"> SUM( EF$4:EF35, -EF35 )</f>
        <v>0</v>
      </c>
      <c r="EF35" s="194">
        <v>0</v>
      </c>
      <c r="EG35" s="194">
        <f xml:space="preserve"> SUM( EH$4:EH35, -EH35 )</f>
        <v>0</v>
      </c>
      <c r="EH35" s="194">
        <v>0</v>
      </c>
      <c r="EI35" s="194">
        <f xml:space="preserve"> SUM( EJ$4:EJ35, -EJ35 )</f>
        <v>0</v>
      </c>
      <c r="EJ35" s="194">
        <v>0</v>
      </c>
      <c r="EK35" s="194">
        <f xml:space="preserve"> SUM( EL$4:EL35, -EL35 )</f>
        <v>0</v>
      </c>
      <c r="EL35" s="194">
        <v>0</v>
      </c>
      <c r="EM35" s="194">
        <f xml:space="preserve"> SUM( EN$4:EN35, -EN35 )</f>
        <v>0</v>
      </c>
      <c r="EN35" s="194">
        <v>0</v>
      </c>
      <c r="EO35" s="194">
        <f xml:space="preserve"> SUM( EP$4:EP35, -EP35 )</f>
        <v>0</v>
      </c>
      <c r="EP35" s="194">
        <v>0</v>
      </c>
      <c r="EQ35" s="194">
        <f xml:space="preserve"> SUM( ER$4:ER35, -ER35 )</f>
        <v>0</v>
      </c>
      <c r="ER35" s="194">
        <v>0</v>
      </c>
      <c r="ES35" s="194">
        <f xml:space="preserve"> SUM( ET$4:ET35, -ET35 )</f>
        <v>0</v>
      </c>
      <c r="ET35" s="194">
        <v>0</v>
      </c>
      <c r="EU35" s="194">
        <f xml:space="preserve"> SUM( EV$4:EV35, -EV35 )</f>
        <v>10</v>
      </c>
      <c r="EV35" s="194">
        <v>0</v>
      </c>
      <c r="EW35" s="194">
        <f xml:space="preserve"> SUM( EX$4:EX35, -EX35 )</f>
        <v>6</v>
      </c>
      <c r="EX35" s="194">
        <v>0</v>
      </c>
      <c r="EZ35">
        <f t="shared" si="92"/>
        <v>0</v>
      </c>
      <c r="FB35" s="237">
        <f xml:space="preserve"> SUM( FC$4:FC35, -FC35 )</f>
        <v>1</v>
      </c>
      <c r="FC35" s="237">
        <v>0</v>
      </c>
      <c r="FD35" s="237">
        <f xml:space="preserve"> SUM( FE$4:FE35, -FE35 )</f>
        <v>1</v>
      </c>
      <c r="FE35" s="237">
        <v>0</v>
      </c>
      <c r="FF35">
        <f t="shared" si="16"/>
        <v>0</v>
      </c>
    </row>
    <row r="36" spans="1:162">
      <c r="A36" s="94" t="s">
        <v>517</v>
      </c>
      <c r="C36" s="119">
        <f xml:space="preserve"> DriveCapacity*I36*FuelJumpPercent</f>
        <v>20</v>
      </c>
      <c r="D36" s="15"/>
      <c r="E36" s="66"/>
      <c r="F36" s="66"/>
      <c r="G36" s="219">
        <f xml:space="preserve"> JumpN * (CS24)</f>
        <v>2</v>
      </c>
      <c r="H36" s="26"/>
      <c r="I36" s="4">
        <f>G36</f>
        <v>2</v>
      </c>
      <c r="J36" s="21"/>
      <c r="K36" s="51">
        <f xml:space="preserve"> ROUNDUP( MAX( 0, I36*DriveCapacity*FuelJumpPercent - C26*95% ), 2 )</f>
        <v>20</v>
      </c>
      <c r="L36" s="51"/>
      <c r="M36" s="3"/>
      <c r="N36" s="48"/>
      <c r="O36" s="3"/>
      <c r="S36" s="223"/>
      <c r="Z36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</v>
      </c>
      <c r="AA36" s="160" t="str">
        <f t="shared" si="126"/>
        <v xml:space="preserve">
Fuel, Jump                                           20                  </v>
      </c>
      <c r="AB36" s="161" t="str">
        <f t="shared" si="74"/>
        <v>Fuel, Jump</v>
      </c>
      <c r="AC36" s="160" t="str">
        <f t="shared" si="1"/>
        <v xml:space="preserve">                     </v>
      </c>
      <c r="AD36" s="160" t="str">
        <f t="shared" si="2"/>
        <v xml:space="preserve">            </v>
      </c>
      <c r="AE36" s="162" t="str">
        <f t="shared" si="63"/>
        <v/>
      </c>
      <c r="AF36" s="160" t="str">
        <f t="shared" si="3"/>
        <v xml:space="preserve">          </v>
      </c>
      <c r="AG36" s="161" t="str">
        <f t="shared" ref="AG36:AG37" si="187" xml:space="preserve"> CONCATENATE( ROUND( K36, 1 ) )</f>
        <v>20</v>
      </c>
      <c r="AH36" s="160" t="str">
        <f t="shared" si="53"/>
        <v xml:space="preserve">            </v>
      </c>
      <c r="AI36" s="163" t="str">
        <f t="shared" si="65"/>
        <v/>
      </c>
      <c r="AJ36" s="160" t="str">
        <f t="shared" si="5"/>
        <v xml:space="preserve">      </v>
      </c>
      <c r="AK36" s="163" t="str">
        <f t="shared" si="14"/>
        <v/>
      </c>
      <c r="AL36" s="163"/>
      <c r="AM36" s="153"/>
      <c r="AN36" s="153"/>
      <c r="AO36" s="153"/>
      <c r="AP36" s="153"/>
      <c r="DL36"/>
      <c r="DQ36" s="44"/>
      <c r="DW36" s="194">
        <f xml:space="preserve"> SUM( DX$4:DX36, -DX36 )</f>
        <v>0</v>
      </c>
      <c r="DX36" s="194">
        <v>0</v>
      </c>
      <c r="DY36" s="194">
        <f xml:space="preserve"> SUM( DZ$4:DZ36, -DZ36 )</f>
        <v>0</v>
      </c>
      <c r="DZ36" s="194">
        <v>0</v>
      </c>
      <c r="EA36" s="194">
        <f xml:space="preserve"> SUM( EB$4:EB36, -EB36 )</f>
        <v>0</v>
      </c>
      <c r="EB36" s="194">
        <v>0</v>
      </c>
      <c r="EC36" s="194">
        <f xml:space="preserve"> SUM( ED$4:ED36, -ED36 )</f>
        <v>0</v>
      </c>
      <c r="ED36" s="194">
        <v>0</v>
      </c>
      <c r="EE36" s="194">
        <f xml:space="preserve"> SUM( EF$4:EF36, -EF36 )</f>
        <v>0</v>
      </c>
      <c r="EF36" s="194">
        <v>0</v>
      </c>
      <c r="EG36" s="194">
        <f xml:space="preserve"> SUM( EH$4:EH36, -EH36 )</f>
        <v>0</v>
      </c>
      <c r="EH36" s="194">
        <v>0</v>
      </c>
      <c r="EI36" s="194">
        <f xml:space="preserve"> SUM( EJ$4:EJ36, -EJ36 )</f>
        <v>0</v>
      </c>
      <c r="EJ36" s="194">
        <v>0</v>
      </c>
      <c r="EK36" s="194">
        <f xml:space="preserve"> SUM( EL$4:EL36, -EL36 )</f>
        <v>0</v>
      </c>
      <c r="EL36" s="194">
        <v>0</v>
      </c>
      <c r="EM36" s="194">
        <f xml:space="preserve"> SUM( EN$4:EN36, -EN36 )</f>
        <v>0</v>
      </c>
      <c r="EN36" s="194">
        <v>0</v>
      </c>
      <c r="EO36" s="194">
        <f xml:space="preserve"> SUM( EP$4:EP36, -EP36 )</f>
        <v>0</v>
      </c>
      <c r="EP36" s="194">
        <v>0</v>
      </c>
      <c r="EQ36" s="194">
        <f xml:space="preserve"> SUM( ER$4:ER36, -ER36 )</f>
        <v>0</v>
      </c>
      <c r="ER36" s="194">
        <f>K36</f>
        <v>20</v>
      </c>
      <c r="ES36" s="194">
        <f xml:space="preserve"> SUM( ET$4:ET36, -ET36 )</f>
        <v>0</v>
      </c>
      <c r="ET36" s="194">
        <v>0</v>
      </c>
      <c r="EU36" s="194">
        <f xml:space="preserve"> SUM( EV$4:EV36, -EV36 )</f>
        <v>10</v>
      </c>
      <c r="EV36" s="194">
        <v>0</v>
      </c>
      <c r="EW36" s="194">
        <f xml:space="preserve"> SUM( EX$4:EX36, -EX36 )</f>
        <v>6</v>
      </c>
      <c r="EX36" s="194">
        <v>0</v>
      </c>
      <c r="EZ36" t="str">
        <f t="shared" si="92"/>
        <v>Fuel, Jump</v>
      </c>
      <c r="FB36" s="237">
        <f xml:space="preserve"> SUM( FC$4:FC36, -FC36 )</f>
        <v>1</v>
      </c>
      <c r="FC36" s="237">
        <v>0</v>
      </c>
      <c r="FD36" s="237">
        <f xml:space="preserve"> SUM( FE$4:FE36, -FE36 )</f>
        <v>1</v>
      </c>
      <c r="FE36" s="237">
        <v>0</v>
      </c>
      <c r="FF36" t="str">
        <f t="shared" si="16"/>
        <v>Fuel, Jump</v>
      </c>
    </row>
    <row r="37" spans="1:162">
      <c r="A37" t="s">
        <v>861</v>
      </c>
      <c r="C37" s="66"/>
      <c r="D37" s="66"/>
      <c r="E37" s="66"/>
      <c r="F37" s="66"/>
      <c r="G37" s="199">
        <f xml:space="preserve"> 5 * (FuelBurnPercent&gt;0)</f>
        <v>0</v>
      </c>
      <c r="H37" s="86"/>
      <c r="I37" s="212">
        <f>G37</f>
        <v>0</v>
      </c>
      <c r="J37" s="191"/>
      <c r="K37" s="194">
        <f xml:space="preserve"> ROUNDUP( I37 * DriveCapacity * FuelBurnPercent, 2 )</f>
        <v>0</v>
      </c>
      <c r="L37" s="194"/>
      <c r="M37" s="191"/>
      <c r="N37" s="191"/>
      <c r="O37" s="191"/>
      <c r="S37" s="223"/>
      <c r="Z37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</v>
      </c>
      <c r="AA37" s="160" t="str">
        <f t="shared" si="126"/>
        <v/>
      </c>
      <c r="AB37" s="161" t="str">
        <f t="shared" ref="AB37" si="188" xml:space="preserve"> CONCATENATE( A37 )</f>
        <v>Fuel, Reaction</v>
      </c>
      <c r="AC37" s="160" t="str">
        <f t="shared" si="1"/>
        <v xml:space="preserve">                 </v>
      </c>
      <c r="AD37" s="160" t="str">
        <f t="shared" ref="AD37" si="189" xml:space="preserve"> CONCATENATE( REPT(" ",MAX(0,12-LEN(AE37))) )</f>
        <v xml:space="preserve">            </v>
      </c>
      <c r="AE37" s="162" t="str">
        <f t="shared" ref="AE37" si="190" xml:space="preserve"> CONCATENATE( J37 )</f>
        <v/>
      </c>
      <c r="AF37" s="160" t="str">
        <f t="shared" ref="AF37" si="191" xml:space="preserve"> CONCATENATE( REPT(" ",MAX(0,12-LEN(AG37))) )</f>
        <v xml:space="preserve">           </v>
      </c>
      <c r="AG37" s="161" t="str">
        <f t="shared" si="187"/>
        <v>0</v>
      </c>
      <c r="AH37" s="160" t="str">
        <f t="shared" ref="AH37" si="192" xml:space="preserve"> CONCATENATE( REPT(" ",MAX(0,12-LEN(AI37))) )</f>
        <v xml:space="preserve">            </v>
      </c>
      <c r="AI37" s="163" t="str">
        <f t="shared" ref="AI37" si="193" xml:space="preserve"> CONCATENATE( L37 )</f>
        <v/>
      </c>
      <c r="AJ37" s="160" t="str">
        <f t="shared" si="5"/>
        <v xml:space="preserve">      </v>
      </c>
      <c r="AK37" s="163" t="str">
        <f t="shared" si="14"/>
        <v/>
      </c>
      <c r="AL37" s="163"/>
      <c r="AM37" s="153"/>
      <c r="AN37" s="153"/>
      <c r="AO37" s="153"/>
      <c r="AP37" s="153"/>
      <c r="DL37"/>
      <c r="DQ37" s="44"/>
      <c r="DW37" s="194">
        <f xml:space="preserve"> SUM( DX$4:DX37, -DX37 )</f>
        <v>0</v>
      </c>
      <c r="DX37" s="194">
        <v>0</v>
      </c>
      <c r="DY37" s="194">
        <f xml:space="preserve"> SUM( DZ$4:DZ37, -DZ37 )</f>
        <v>0</v>
      </c>
      <c r="DZ37" s="194">
        <v>0</v>
      </c>
      <c r="EA37" s="194">
        <f xml:space="preserve"> SUM( EB$4:EB37, -EB37 )</f>
        <v>0</v>
      </c>
      <c r="EB37" s="194">
        <v>0</v>
      </c>
      <c r="EC37" s="194">
        <f xml:space="preserve"> SUM( ED$4:ED37, -ED37 )</f>
        <v>0</v>
      </c>
      <c r="ED37" s="194">
        <v>0</v>
      </c>
      <c r="EE37" s="194">
        <f xml:space="preserve"> SUM( EF$4:EF37, -EF37 )</f>
        <v>0</v>
      </c>
      <c r="EF37" s="194">
        <v>0</v>
      </c>
      <c r="EG37" s="194">
        <f xml:space="preserve"> SUM( EH$4:EH37, -EH37 )</f>
        <v>0</v>
      </c>
      <c r="EH37" s="194">
        <v>0</v>
      </c>
      <c r="EI37" s="194">
        <f xml:space="preserve"> SUM( EJ$4:EJ37, -EJ37 )</f>
        <v>0</v>
      </c>
      <c r="EJ37" s="194">
        <v>0</v>
      </c>
      <c r="EK37" s="194">
        <f xml:space="preserve"> SUM( EL$4:EL37, -EL37 )</f>
        <v>0</v>
      </c>
      <c r="EL37" s="194">
        <v>0</v>
      </c>
      <c r="EM37" s="194">
        <f xml:space="preserve"> SUM( EN$4:EN37, -EN37 )</f>
        <v>0</v>
      </c>
      <c r="EN37" s="194">
        <v>0</v>
      </c>
      <c r="EO37" s="194">
        <f xml:space="preserve"> SUM( EP$4:EP37, -EP37 )</f>
        <v>0</v>
      </c>
      <c r="EP37" s="194">
        <v>0</v>
      </c>
      <c r="EQ37" s="194">
        <f xml:space="preserve"> SUM( ER$4:ER37, -ER37 )</f>
        <v>20</v>
      </c>
      <c r="ER37" s="194">
        <f t="shared" ref="ER37" si="194">K37</f>
        <v>0</v>
      </c>
      <c r="ES37" s="194">
        <f xml:space="preserve"> SUM( ET$4:ET37, -ET37 )</f>
        <v>0</v>
      </c>
      <c r="ET37" s="194">
        <v>0</v>
      </c>
      <c r="EU37" s="194">
        <f xml:space="preserve"> SUM( EV$4:EV37, -EV37 )</f>
        <v>10</v>
      </c>
      <c r="EV37" s="194">
        <v>0</v>
      </c>
      <c r="EW37" s="194">
        <f xml:space="preserve"> SUM( EX$4:EX37, -EX37 )</f>
        <v>6</v>
      </c>
      <c r="EX37" s="194">
        <v>0</v>
      </c>
      <c r="EZ37" t="str">
        <f t="shared" ref="EZ37" si="195">A37</f>
        <v>Fuel, Reaction</v>
      </c>
      <c r="FB37" s="237">
        <f xml:space="preserve"> SUM( FC$4:FC37, -FC37 )</f>
        <v>1</v>
      </c>
      <c r="FC37" s="237">
        <v>0</v>
      </c>
      <c r="FD37" s="237">
        <f xml:space="preserve"> SUM( FE$4:FE37, -FE37 )</f>
        <v>1</v>
      </c>
      <c r="FE37" s="237">
        <v>0</v>
      </c>
      <c r="FF37" t="str">
        <f t="shared" si="16"/>
        <v>Fuel, Reaction</v>
      </c>
    </row>
    <row r="38" spans="1:162">
      <c r="A38" t="s">
        <v>870</v>
      </c>
      <c r="C38" s="63" t="str">
        <f xml:space="preserve"> IF( TL&gt;=10, Tables!$A$216, Tables!$A$215 )</f>
        <v>Decentralised - Fusion Plus</v>
      </c>
      <c r="D38" s="63" t="s">
        <v>693</v>
      </c>
      <c r="E38" s="66"/>
      <c r="F38" s="66"/>
      <c r="G38" s="10">
        <f xml:space="preserve"> IF( Hull&lt;100, 1, 4 )</f>
        <v>4</v>
      </c>
      <c r="H38" s="26"/>
      <c r="I38" s="37">
        <f xml:space="preserve"> MAX( G38, 2*(JumpN&gt;0) )</f>
        <v>4</v>
      </c>
      <c r="J38" s="3"/>
      <c r="K38" s="51">
        <f xml:space="preserve"> ROUNDUP( I38 / 4 * DriveCapacity * FuelOpPercent * ( 1 + 1*(C38=Tables!$A$214) ) * ( 1 + 0.5*(D38=Tables!H109) + 1*(Ship!D38=Tables!H110) ), 2 )</f>
        <v>2</v>
      </c>
      <c r="L38" s="51"/>
      <c r="M38" s="3"/>
      <c r="N38" s="48"/>
      <c r="O38" s="3"/>
      <c r="S38" s="223"/>
      <c r="Z38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</v>
      </c>
      <c r="AA38" s="160" t="str">
        <f t="shared" si="126"/>
        <v xml:space="preserve">
Fuel, Power                                           2                  </v>
      </c>
      <c r="AB38" s="161" t="str">
        <f t="shared" si="74"/>
        <v>Fuel, Power</v>
      </c>
      <c r="AC38" s="160" t="str">
        <f t="shared" si="1"/>
        <v xml:space="preserve">                    </v>
      </c>
      <c r="AD38" s="160" t="str">
        <f t="shared" si="2"/>
        <v xml:space="preserve">            </v>
      </c>
      <c r="AE38" s="162" t="str">
        <f t="shared" si="63"/>
        <v/>
      </c>
      <c r="AF38" s="160" t="str">
        <f t="shared" si="3"/>
        <v xml:space="preserve">           </v>
      </c>
      <c r="AG38" s="161" t="str">
        <f t="shared" ref="AG38" si="196" xml:space="preserve"> CONCATENATE( ROUND( K38, 1 ) )</f>
        <v>2</v>
      </c>
      <c r="AH38" s="160" t="str">
        <f t="shared" si="53"/>
        <v xml:space="preserve">            </v>
      </c>
      <c r="AI38" s="163" t="str">
        <f t="shared" si="65"/>
        <v/>
      </c>
      <c r="AJ38" s="160" t="str">
        <f t="shared" si="5"/>
        <v xml:space="preserve">      </v>
      </c>
      <c r="AK38" s="163" t="str">
        <f t="shared" si="14"/>
        <v/>
      </c>
      <c r="AL38" s="163"/>
      <c r="AM38" s="153"/>
      <c r="AN38" s="153"/>
      <c r="AO38" s="153"/>
      <c r="AP38" s="153"/>
      <c r="DL38"/>
      <c r="DQ38" s="44"/>
      <c r="DW38" s="194">
        <f xml:space="preserve"> SUM( DX$4:DX38, -DX38 )</f>
        <v>0</v>
      </c>
      <c r="DX38" s="194">
        <v>0</v>
      </c>
      <c r="DY38" s="194">
        <f xml:space="preserve"> SUM( DZ$4:DZ38, -DZ38 )</f>
        <v>0</v>
      </c>
      <c r="DZ38" s="194">
        <v>0</v>
      </c>
      <c r="EA38" s="194">
        <f xml:space="preserve"> SUM( EB$4:EB38, -EB38 )</f>
        <v>0</v>
      </c>
      <c r="EB38" s="194">
        <v>0</v>
      </c>
      <c r="EC38" s="194">
        <f xml:space="preserve"> SUM( ED$4:ED38, -ED38 )</f>
        <v>0</v>
      </c>
      <c r="ED38" s="194">
        <v>0</v>
      </c>
      <c r="EE38" s="194">
        <f xml:space="preserve"> SUM( EF$4:EF38, -EF38 )</f>
        <v>0</v>
      </c>
      <c r="EF38" s="194">
        <v>0</v>
      </c>
      <c r="EG38" s="194">
        <f xml:space="preserve"> SUM( EH$4:EH38, -EH38 )</f>
        <v>0</v>
      </c>
      <c r="EH38" s="194">
        <v>0</v>
      </c>
      <c r="EI38" s="194">
        <f xml:space="preserve"> SUM( EJ$4:EJ38, -EJ38 )</f>
        <v>0</v>
      </c>
      <c r="EJ38" s="194">
        <v>0</v>
      </c>
      <c r="EK38" s="194">
        <f xml:space="preserve"> SUM( EL$4:EL38, -EL38 )</f>
        <v>0</v>
      </c>
      <c r="EL38" s="194">
        <v>0</v>
      </c>
      <c r="EM38" s="194">
        <f xml:space="preserve"> SUM( EN$4:EN38, -EN38 )</f>
        <v>0</v>
      </c>
      <c r="EN38" s="194">
        <v>0</v>
      </c>
      <c r="EO38" s="194">
        <f xml:space="preserve"> SUM( EP$4:EP38, -EP38 )</f>
        <v>0</v>
      </c>
      <c r="EP38" s="194">
        <v>0</v>
      </c>
      <c r="EQ38" s="194">
        <f xml:space="preserve"> SUM( ER$4:ER38, -ER38 )</f>
        <v>20</v>
      </c>
      <c r="ER38" s="194">
        <f t="shared" ref="ER38:ER43" si="197">K38</f>
        <v>2</v>
      </c>
      <c r="ES38" s="194">
        <f xml:space="preserve"> SUM( ET$4:ET38, -ET38 )</f>
        <v>0</v>
      </c>
      <c r="ET38" s="194">
        <v>0</v>
      </c>
      <c r="EU38" s="194">
        <f xml:space="preserve"> SUM( EV$4:EV38, -EV38 )</f>
        <v>10</v>
      </c>
      <c r="EV38" s="194">
        <v>0</v>
      </c>
      <c r="EW38" s="194">
        <f xml:space="preserve"> SUM( EX$4:EX38, -EX38 )</f>
        <v>6</v>
      </c>
      <c r="EX38" s="194">
        <v>0</v>
      </c>
      <c r="EZ38" t="str">
        <f t="shared" si="92"/>
        <v>Fuel, Power</v>
      </c>
      <c r="FB38" s="237">
        <f xml:space="preserve"> SUM( FC$4:FC38, -FC38 )</f>
        <v>1</v>
      </c>
      <c r="FC38" s="237">
        <v>0</v>
      </c>
      <c r="FD38" s="237">
        <f xml:space="preserve"> SUM( FE$4:FE38, -FE38 )</f>
        <v>1</v>
      </c>
      <c r="FE38" s="237">
        <v>0</v>
      </c>
      <c r="FF38" t="str">
        <f t="shared" si="16"/>
        <v>Fuel, Power</v>
      </c>
    </row>
    <row r="39" spans="1:162">
      <c r="A39" t="s">
        <v>336</v>
      </c>
      <c r="B39" s="8" t="str">
        <f t="shared" ref="B39:B43" si="198">AV39</f>
        <v>Std</v>
      </c>
      <c r="C39" s="119">
        <f xml:space="preserve"> J39 * 100</f>
        <v>0</v>
      </c>
      <c r="D39" s="66"/>
      <c r="E39" s="66"/>
      <c r="F39" s="66"/>
      <c r="G39" s="105">
        <f xml:space="preserve"> 1 * ROUNDUP( C26*95%/100, 0 )</f>
        <v>0</v>
      </c>
      <c r="H39" s="57">
        <f xml:space="preserve"> 0.5*(G39&gt;0)</f>
        <v>0</v>
      </c>
      <c r="I39" s="117">
        <f xml:space="preserve">  1* (J39 &gt;= IF( C26&gt;0, C26*95%/100, K36/100 ) )</f>
        <v>0</v>
      </c>
      <c r="J39" s="48">
        <f xml:space="preserve"> ROUNDUP( MAX( G39, G39 * C26/100 ), 0 )</f>
        <v>0</v>
      </c>
      <c r="K39" s="80">
        <f xml:space="preserve"> J39 * 1</f>
        <v>0</v>
      </c>
      <c r="L39" s="80">
        <f xml:space="preserve"> J39 * 1 * AY39 * ( 1 + 0.1*($S39=TL+1) )</f>
        <v>0</v>
      </c>
      <c r="M39" s="48"/>
      <c r="N39" s="48"/>
      <c r="O39" s="48"/>
      <c r="S39" s="223">
        <f t="shared" ref="S39:S43" si="199" xml:space="preserve"> TL</f>
        <v>12</v>
      </c>
      <c r="T39" t="str">
        <f xml:space="preserve"> IF( K39&gt;0, CONCATENATE( DQ39, DR39, DS39, DT39, DU39 ), "" )</f>
        <v/>
      </c>
      <c r="Z39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</v>
      </c>
      <c r="AA39" s="160" t="str">
        <f t="shared" si="126"/>
        <v/>
      </c>
      <c r="AB39" s="161" t="str">
        <f t="shared" si="74"/>
        <v>Transfer Pump</v>
      </c>
      <c r="AC39" s="160" t="str">
        <f t="shared" si="1"/>
        <v xml:space="preserve">                  </v>
      </c>
      <c r="AD39" s="160" t="str">
        <f t="shared" si="2"/>
        <v xml:space="preserve">           </v>
      </c>
      <c r="AE39" s="162" t="str">
        <f t="shared" si="63"/>
        <v>0</v>
      </c>
      <c r="AF39" s="160" t="str">
        <f t="shared" si="3"/>
        <v xml:space="preserve">           </v>
      </c>
      <c r="AG39" s="161" t="str">
        <f t="shared" si="64"/>
        <v>0</v>
      </c>
      <c r="AH39" s="160" t="str">
        <f t="shared" si="53"/>
        <v xml:space="preserve">           </v>
      </c>
      <c r="AI39" s="163" t="str">
        <f t="shared" si="65"/>
        <v>0</v>
      </c>
      <c r="AJ39" s="160" t="str">
        <f t="shared" si="5"/>
        <v xml:space="preserve">      </v>
      </c>
      <c r="AK39" s="163" t="str">
        <f t="shared" si="14"/>
        <v/>
      </c>
      <c r="AL39" s="163"/>
      <c r="AM39" s="153"/>
      <c r="AN39" s="153"/>
      <c r="AO39" s="153">
        <f xml:space="preserve"> (J39&gt;0) * ROUNDUP( K39/35, 0 )</f>
        <v>0</v>
      </c>
      <c r="AP39" s="153"/>
      <c r="AR39" s="103">
        <v>10</v>
      </c>
      <c r="AS39" s="98">
        <f xml:space="preserve"> MIN( H39, $S39 - AR39)</f>
        <v>0</v>
      </c>
      <c r="AT39" t="s">
        <v>378</v>
      </c>
      <c r="AU39" s="8" t="str">
        <f>VLOOKUP( $AS39, Tables!$A$184:$H$193,  2 )</f>
        <v>Standard</v>
      </c>
      <c r="AV39" s="8" t="str">
        <f>VLOOKUP( $AS39, Tables!$A$184:$H$193,  3 )</f>
        <v>Std</v>
      </c>
      <c r="AW39" s="90">
        <f>VLOOKUP( $AS39, Tables!$A$184:$H$193, 4 )</f>
        <v>0</v>
      </c>
      <c r="AX39" s="8">
        <f>VLOOKUP( $AS39, Tables!$A$184:$H$193,  5 )</f>
        <v>1</v>
      </c>
      <c r="AY39" s="8">
        <f>VLOOKUP( $AS39, Tables!$A$184:$H$193, 6 )</f>
        <v>1</v>
      </c>
      <c r="AZ39" s="8">
        <f>VLOOKUP( $AS39, Tables!$A$184:$H$193, 7 )</f>
        <v>1</v>
      </c>
      <c r="BA39" s="8">
        <f>VLOOKUP( $AS39, Tables!$A$184:$H$193, 8 )</f>
        <v>1</v>
      </c>
      <c r="BB39" s="60">
        <f>VLOOKUP( $AS39, Tables!$A$184:$Q$193, 9 )</f>
        <v>0</v>
      </c>
      <c r="DL39">
        <f ca="1" xml:space="preserve"> IF( $AV39=Tables!$C$189, 5, RANDBETWEEN(1,6)+RANDBETWEEN(1,6)-2 )</f>
        <v>3</v>
      </c>
      <c r="DM39">
        <f ca="1" xml:space="preserve"> IF( $AV39=Tables!$C$189, 0, RANDBETWEEN(1,6)-RANDBETWEEN(1,6)+ VLOOKUP( $AS39, Tables!$A$184:$Q$193,  14 ) )</f>
        <v>0</v>
      </c>
      <c r="DN39">
        <f ca="1" xml:space="preserve"> IF( $AV39=Tables!$C$189, 0, RANDBETWEEN(1,6)-RANDBETWEEN(1,6)+ VLOOKUP( $AS39, Tables!$A$184:$Q$193,  15 ) )</f>
        <v>0</v>
      </c>
      <c r="DO39">
        <f ca="1" xml:space="preserve"> IF( $AV39=Tables!$C$189, 0, RANDBETWEEN(1,6)-RANDBETWEEN(1,6)+ VLOOKUP( $AS39, Tables!$A$184:$Q$193,  16 ) )</f>
        <v>1</v>
      </c>
      <c r="DP39">
        <f ca="1" xml:space="preserve"> IF( $AV39=Tables!$C$189, 0, RANDBETWEEN(1,6)-RANDBETWEEN(1,6)+ VLOOKUP( $AS39, Tables!$A$184:$Q$193,  17 ) )</f>
        <v>1</v>
      </c>
      <c r="DQ39" s="44" t="str">
        <f ca="1" xml:space="preserve"> VLOOKUP( $DL39,Tables!$B$2:$C$36,2)</f>
        <v>3</v>
      </c>
      <c r="DR39" t="str">
        <f t="shared" ref="DR39:DR43" ca="1" si="200" xml:space="preserve"> IF( DM39&lt;0, CONCATENATE( DM39 ), CONCATENATE( " ", DM39 ) )</f>
        <v xml:space="preserve"> 0</v>
      </c>
      <c r="DS39" t="str">
        <f t="shared" ref="DS39:DS43" ca="1" si="201" xml:space="preserve"> IF( DN39&lt;0, CONCATENATE( DN39 ), CONCATENATE( " ", DN39 ) )</f>
        <v xml:space="preserve"> 0</v>
      </c>
      <c r="DT39" t="str">
        <f t="shared" ref="DT39:DT43" ca="1" si="202" xml:space="preserve"> IF( DO39&lt;0, CONCATENATE( DO39 ), CONCATENATE( " ", DO39 ) )</f>
        <v xml:space="preserve"> 1</v>
      </c>
      <c r="DU39" t="str">
        <f t="shared" ref="DU39:DU43" ca="1" si="203" xml:space="preserve"> IF( DP39&lt;0, CONCATENATE( DP39 ), CONCATENATE( " ", DP39 ) )</f>
        <v xml:space="preserve"> 1</v>
      </c>
      <c r="DW39" s="194">
        <f xml:space="preserve"> SUM( DX$4:DX39, -DX39 )</f>
        <v>0</v>
      </c>
      <c r="DX39" s="194">
        <v>0</v>
      </c>
      <c r="DY39" s="194">
        <f xml:space="preserve"> SUM( DZ$4:DZ39, -DZ39 )</f>
        <v>0</v>
      </c>
      <c r="DZ39" s="194">
        <v>0</v>
      </c>
      <c r="EA39" s="194">
        <f xml:space="preserve"> SUM( EB$4:EB39, -EB39 )</f>
        <v>0</v>
      </c>
      <c r="EB39" s="194">
        <v>0</v>
      </c>
      <c r="EC39" s="194">
        <f xml:space="preserve"> SUM( ED$4:ED39, -ED39 )</f>
        <v>0</v>
      </c>
      <c r="ED39" s="194">
        <v>0</v>
      </c>
      <c r="EE39" s="194">
        <f xml:space="preserve"> SUM( EF$4:EF39, -EF39 )</f>
        <v>0</v>
      </c>
      <c r="EF39" s="194">
        <v>0</v>
      </c>
      <c r="EG39" s="194">
        <f xml:space="preserve"> SUM( EH$4:EH39, -EH39 )</f>
        <v>0</v>
      </c>
      <c r="EH39" s="194">
        <v>0</v>
      </c>
      <c r="EI39" s="194">
        <f xml:space="preserve"> SUM( EJ$4:EJ39, -EJ39 )</f>
        <v>0</v>
      </c>
      <c r="EJ39" s="194">
        <v>0</v>
      </c>
      <c r="EK39" s="194">
        <f xml:space="preserve"> SUM( EL$4:EL39, -EL39 )</f>
        <v>0</v>
      </c>
      <c r="EL39" s="194">
        <v>0</v>
      </c>
      <c r="EM39" s="194">
        <f xml:space="preserve"> SUM( EN$4:EN39, -EN39 )</f>
        <v>0</v>
      </c>
      <c r="EN39" s="194">
        <v>0</v>
      </c>
      <c r="EO39" s="194">
        <f xml:space="preserve"> SUM( EP$4:EP39, -EP39 )</f>
        <v>0</v>
      </c>
      <c r="EP39" s="194">
        <v>0</v>
      </c>
      <c r="EQ39" s="194">
        <f xml:space="preserve"> SUM( ER$4:ER39, -ER39 )</f>
        <v>22</v>
      </c>
      <c r="ER39" s="194">
        <f t="shared" si="197"/>
        <v>0</v>
      </c>
      <c r="ES39" s="194">
        <f xml:space="preserve"> SUM( ET$4:ET39, -ET39 )</f>
        <v>0</v>
      </c>
      <c r="ET39" s="194">
        <v>0</v>
      </c>
      <c r="EU39" s="194">
        <f xml:space="preserve"> SUM( EV$4:EV39, -EV39 )</f>
        <v>10</v>
      </c>
      <c r="EV39" s="194">
        <v>0</v>
      </c>
      <c r="EW39" s="194">
        <f xml:space="preserve"> SUM( EX$4:EX39, -EX39 )</f>
        <v>6</v>
      </c>
      <c r="EX39" s="194">
        <v>0</v>
      </c>
      <c r="EZ39" t="str">
        <f t="shared" si="92"/>
        <v>Transfer Pump</v>
      </c>
      <c r="FB39" s="237">
        <f xml:space="preserve"> SUM( FC$4:FC39, -FC39 )</f>
        <v>1</v>
      </c>
      <c r="FC39" s="237">
        <v>0</v>
      </c>
      <c r="FD39" s="237">
        <f xml:space="preserve"> SUM( FE$4:FE39, -FE39 )</f>
        <v>1</v>
      </c>
      <c r="FE39" s="237">
        <v>0</v>
      </c>
      <c r="FF39" t="str">
        <f t="shared" si="16"/>
        <v>Transfer Pump</v>
      </c>
    </row>
    <row r="40" spans="1:162">
      <c r="A40" t="s">
        <v>1081</v>
      </c>
      <c r="B40" s="8" t="str">
        <f t="shared" si="198"/>
        <v>Gen</v>
      </c>
      <c r="C40" s="118">
        <f xml:space="preserve"> J40 * 100</f>
        <v>100</v>
      </c>
      <c r="D40" s="66"/>
      <c r="E40" s="66"/>
      <c r="F40" s="66"/>
      <c r="G40" s="20">
        <f>1*(Hull&gt;=100)</f>
        <v>1</v>
      </c>
      <c r="H40" s="57">
        <f t="shared" ref="H40:H43" si="204" xml:space="preserve"> 0.5*(G40&gt;0)</f>
        <v>0.5</v>
      </c>
      <c r="I40" s="37"/>
      <c r="J40" s="48">
        <f>G40</f>
        <v>1</v>
      </c>
      <c r="K40" s="51">
        <f xml:space="preserve"> J40 * ( 1 )</f>
        <v>1</v>
      </c>
      <c r="L40" s="51">
        <f xml:space="preserve"> J40 * ( 1 ) * AY40 * ( 1 + 0.1*($S40=TL+1) )</f>
        <v>0.5</v>
      </c>
      <c r="M40" s="48"/>
      <c r="N40" s="48"/>
      <c r="O40" s="48"/>
      <c r="S40" s="223">
        <f t="shared" si="199"/>
        <v>12</v>
      </c>
      <c r="T40" t="str">
        <f ca="1" xml:space="preserve"> IF( K40&gt;0, CONCATENATE( DQ40, DR40, DS40, DT40, DU40 ), "" )</f>
        <v>5 0 0 0 0</v>
      </c>
      <c r="Z40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</v>
      </c>
      <c r="AA40" s="160" t="str">
        <f t="shared" si="126"/>
        <v xml:space="preserve">
Purifier                                  1           1         0,5      </v>
      </c>
      <c r="AB40" s="161" t="str">
        <f t="shared" si="74"/>
        <v>Purifier</v>
      </c>
      <c r="AC40" s="160" t="str">
        <f t="shared" si="1"/>
        <v xml:space="preserve">                       </v>
      </c>
      <c r="AD40" s="160" t="str">
        <f t="shared" si="2"/>
        <v xml:space="preserve">           </v>
      </c>
      <c r="AE40" s="162" t="str">
        <f t="shared" si="63"/>
        <v>1</v>
      </c>
      <c r="AF40" s="160" t="str">
        <f t="shared" si="3"/>
        <v xml:space="preserve">           </v>
      </c>
      <c r="AG40" s="161" t="str">
        <f t="shared" si="64"/>
        <v>1</v>
      </c>
      <c r="AH40" s="160" t="str">
        <f t="shared" si="53"/>
        <v xml:space="preserve">         </v>
      </c>
      <c r="AI40" s="163" t="str">
        <f t="shared" si="65"/>
        <v>0,5</v>
      </c>
      <c r="AJ40" s="160" t="str">
        <f t="shared" si="5"/>
        <v xml:space="preserve">      </v>
      </c>
      <c r="AK40" s="163" t="str">
        <f t="shared" si="14"/>
        <v/>
      </c>
      <c r="AL40" s="163"/>
      <c r="AM40" s="153"/>
      <c r="AN40" s="153"/>
      <c r="AO40" s="153">
        <f xml:space="preserve"> (J40&gt;0) * ROUNDUP( K40/35, 0 )</f>
        <v>1</v>
      </c>
      <c r="AP40" s="153"/>
      <c r="AR40" s="103">
        <v>8</v>
      </c>
      <c r="AS40" s="98">
        <f xml:space="preserve"> MIN( H40, $S40 - AR40)</f>
        <v>0.5</v>
      </c>
      <c r="AT40" t="s">
        <v>378</v>
      </c>
      <c r="AU40" s="8" t="str">
        <f>VLOOKUP( $AS40, Tables!$A$184:$H$193,  2 )</f>
        <v>Generic</v>
      </c>
      <c r="AV40" s="8" t="str">
        <f>VLOOKUP( $AS40, Tables!$A$184:$H$193,  3 )</f>
        <v>Gen</v>
      </c>
      <c r="AW40" s="90">
        <f>VLOOKUP( $AS40, Tables!$A$184:$H$193, 4 )</f>
        <v>1</v>
      </c>
      <c r="AX40" s="8">
        <f>VLOOKUP( $AS40, Tables!$A$184:$H$193,  5 )</f>
        <v>1</v>
      </c>
      <c r="AY40" s="8">
        <f>VLOOKUP( $AS40, Tables!$A$184:$H$193, 6 )</f>
        <v>0.5</v>
      </c>
      <c r="AZ40" s="8">
        <f>VLOOKUP( $AS40, Tables!$A$184:$H$193, 7 )</f>
        <v>0.9</v>
      </c>
      <c r="BA40" s="8">
        <f>VLOOKUP( $AS40, Tables!$A$184:$H$193, 8 )</f>
        <v>1.1000000000000001</v>
      </c>
      <c r="BB40" s="60">
        <f>VLOOKUP( $AS40, Tables!$A$184:$Q$193, 9 )</f>
        <v>0</v>
      </c>
      <c r="DL40">
        <f ca="1" xml:space="preserve"> IF( $AV40=Tables!$C$189, 5, RANDBETWEEN(1,6)+RANDBETWEEN(1,6)-2 )</f>
        <v>5</v>
      </c>
      <c r="DM40">
        <f ca="1" xml:space="preserve"> IF( $AV40=Tables!$C$189, 0, RANDBETWEEN(1,6)-RANDBETWEEN(1,6)+ VLOOKUP( $AS40, Tables!$A$184:$Q$193,  14 ) )</f>
        <v>0</v>
      </c>
      <c r="DN40">
        <f ca="1" xml:space="preserve"> IF( $AV40=Tables!$C$189, 0, RANDBETWEEN(1,6)-RANDBETWEEN(1,6)+ VLOOKUP( $AS40, Tables!$A$184:$Q$193,  15 ) )</f>
        <v>0</v>
      </c>
      <c r="DO40">
        <f ca="1" xml:space="preserve"> IF( $AV40=Tables!$C$189, 0, RANDBETWEEN(1,6)-RANDBETWEEN(1,6)+ VLOOKUP( $AS40, Tables!$A$184:$Q$193,  16 ) )</f>
        <v>0</v>
      </c>
      <c r="DP40">
        <f ca="1" xml:space="preserve"> IF( $AV40=Tables!$C$189, 0, RANDBETWEEN(1,6)-RANDBETWEEN(1,6)+ VLOOKUP( $AS40, Tables!$A$184:$Q$193,  17 ) )</f>
        <v>0</v>
      </c>
      <c r="DQ40" s="44" t="str">
        <f ca="1" xml:space="preserve"> VLOOKUP( $DL40,Tables!$B$2:$C$36,2)</f>
        <v>5</v>
      </c>
      <c r="DR40" t="str">
        <f t="shared" ca="1" si="200"/>
        <v xml:space="preserve"> 0</v>
      </c>
      <c r="DS40" t="str">
        <f t="shared" ca="1" si="201"/>
        <v xml:space="preserve"> 0</v>
      </c>
      <c r="DT40" t="str">
        <f t="shared" ca="1" si="202"/>
        <v xml:space="preserve"> 0</v>
      </c>
      <c r="DU40" t="str">
        <f t="shared" ca="1" si="203"/>
        <v xml:space="preserve"> 0</v>
      </c>
      <c r="DW40" s="194">
        <f xml:space="preserve"> SUM( DX$4:DX40, -DX40 )</f>
        <v>0</v>
      </c>
      <c r="DX40" s="194">
        <v>0</v>
      </c>
      <c r="DY40" s="194">
        <f xml:space="preserve"> SUM( DZ$4:DZ40, -DZ40 )</f>
        <v>0</v>
      </c>
      <c r="DZ40" s="194">
        <v>0</v>
      </c>
      <c r="EA40" s="194">
        <f xml:space="preserve"> SUM( EB$4:EB40, -EB40 )</f>
        <v>0</v>
      </c>
      <c r="EB40" s="194">
        <v>0</v>
      </c>
      <c r="EC40" s="194">
        <f xml:space="preserve"> SUM( ED$4:ED40, -ED40 )</f>
        <v>0</v>
      </c>
      <c r="ED40" s="194">
        <v>0</v>
      </c>
      <c r="EE40" s="194">
        <f xml:space="preserve"> SUM( EF$4:EF40, -EF40 )</f>
        <v>0</v>
      </c>
      <c r="EF40" s="194">
        <v>0</v>
      </c>
      <c r="EG40" s="194">
        <f xml:space="preserve"> SUM( EH$4:EH40, -EH40 )</f>
        <v>0</v>
      </c>
      <c r="EH40" s="194">
        <v>0</v>
      </c>
      <c r="EI40" s="194">
        <f xml:space="preserve"> SUM( EJ$4:EJ40, -EJ40 )</f>
        <v>0</v>
      </c>
      <c r="EJ40" s="194">
        <v>0</v>
      </c>
      <c r="EK40" s="194">
        <f xml:space="preserve"> SUM( EL$4:EL40, -EL40 )</f>
        <v>0</v>
      </c>
      <c r="EL40" s="194">
        <v>0</v>
      </c>
      <c r="EM40" s="194">
        <f xml:space="preserve"> SUM( EN$4:EN40, -EN40 )</f>
        <v>0</v>
      </c>
      <c r="EN40" s="194">
        <v>0</v>
      </c>
      <c r="EO40" s="194">
        <f xml:space="preserve"> SUM( EP$4:EP40, -EP40 )</f>
        <v>0</v>
      </c>
      <c r="EP40" s="194">
        <v>0</v>
      </c>
      <c r="EQ40" s="194">
        <f xml:space="preserve"> SUM( ER$4:ER40, -ER40 )</f>
        <v>22</v>
      </c>
      <c r="ER40" s="194">
        <f t="shared" si="197"/>
        <v>1</v>
      </c>
      <c r="ES40" s="194">
        <f xml:space="preserve"> SUM( ET$4:ET40, -ET40 )</f>
        <v>0</v>
      </c>
      <c r="ET40" s="194">
        <v>0</v>
      </c>
      <c r="EU40" s="194">
        <f xml:space="preserve"> SUM( EV$4:EV40, -EV40 )</f>
        <v>10</v>
      </c>
      <c r="EV40" s="194">
        <v>0</v>
      </c>
      <c r="EW40" s="194">
        <f xml:space="preserve"> SUM( EX$4:EX40, -EX40 )</f>
        <v>6</v>
      </c>
      <c r="EX40" s="194">
        <v>0</v>
      </c>
      <c r="EZ40" t="str">
        <f t="shared" si="92"/>
        <v>Purifier</v>
      </c>
      <c r="FB40" s="237">
        <f xml:space="preserve"> SUM( FC$4:FC40, -FC40 )</f>
        <v>1</v>
      </c>
      <c r="FC40" s="237">
        <v>0</v>
      </c>
      <c r="FD40" s="237">
        <f xml:space="preserve"> SUM( FE$4:FE40, -FE40 )</f>
        <v>1</v>
      </c>
      <c r="FE40" s="237">
        <v>0</v>
      </c>
      <c r="FF40" t="str">
        <f t="shared" si="16"/>
        <v>Purifier</v>
      </c>
    </row>
    <row r="41" spans="1:162">
      <c r="A41" t="s">
        <v>0</v>
      </c>
      <c r="B41" s="8" t="str">
        <f t="shared" si="198"/>
        <v>Gen</v>
      </c>
      <c r="C41" s="118">
        <f>J41 * 100</f>
        <v>100</v>
      </c>
      <c r="D41" s="66"/>
      <c r="E41" s="66"/>
      <c r="F41" s="66"/>
      <c r="G41" s="20">
        <f>1*(Config&gt;=4)</f>
        <v>1</v>
      </c>
      <c r="H41" s="57">
        <f t="shared" si="204"/>
        <v>0.5</v>
      </c>
      <c r="I41" s="14"/>
      <c r="J41" s="3">
        <f>G41</f>
        <v>1</v>
      </c>
      <c r="K41" s="51">
        <f xml:space="preserve"> J41 * ( 1 )</f>
        <v>1</v>
      </c>
      <c r="L41" s="51">
        <f xml:space="preserve"> J41 * ( 0.1 ) * AY41 * ( 1 + 0.1*($S41=TL+1) )</f>
        <v>0.05</v>
      </c>
      <c r="M41" s="3"/>
      <c r="N41" s="48"/>
      <c r="O41" s="3"/>
      <c r="S41" s="223">
        <f t="shared" si="199"/>
        <v>12</v>
      </c>
      <c r="T41" t="str">
        <f ca="1" xml:space="preserve"> IF( K41&gt;0, CONCATENATE( DQ41, DR41, DS41, DT41, DU41 ), "" )</f>
        <v>5 0 0 0 0</v>
      </c>
      <c r="Z41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</v>
      </c>
      <c r="AA41" s="160" t="str">
        <f t="shared" si="126"/>
        <v xml:space="preserve">
Scoops                                    1           1        0,05      </v>
      </c>
      <c r="AB41" s="161" t="str">
        <f t="shared" si="74"/>
        <v>Scoops</v>
      </c>
      <c r="AC41" s="160" t="str">
        <f t="shared" si="1"/>
        <v xml:space="preserve">                         </v>
      </c>
      <c r="AD41" s="160" t="str">
        <f t="shared" si="2"/>
        <v xml:space="preserve">           </v>
      </c>
      <c r="AE41" s="162" t="str">
        <f t="shared" si="63"/>
        <v>1</v>
      </c>
      <c r="AF41" s="160" t="str">
        <f t="shared" si="3"/>
        <v xml:space="preserve">           </v>
      </c>
      <c r="AG41" s="161" t="str">
        <f t="shared" si="64"/>
        <v>1</v>
      </c>
      <c r="AH41" s="160" t="str">
        <f t="shared" si="53"/>
        <v xml:space="preserve">        </v>
      </c>
      <c r="AI41" s="163" t="str">
        <f t="shared" si="65"/>
        <v>0,05</v>
      </c>
      <c r="AJ41" s="160" t="str">
        <f t="shared" si="5"/>
        <v xml:space="preserve">      </v>
      </c>
      <c r="AK41" s="163" t="str">
        <f t="shared" si="14"/>
        <v/>
      </c>
      <c r="AL41" s="163"/>
      <c r="AM41" s="153"/>
      <c r="AN41" s="153"/>
      <c r="AO41" s="153">
        <f xml:space="preserve"> (J41&gt;0) * ROUNDUP( K41/35, 0 )</f>
        <v>1</v>
      </c>
      <c r="AP41" s="153"/>
      <c r="AR41" s="103">
        <v>8</v>
      </c>
      <c r="AS41" s="98">
        <f xml:space="preserve"> MIN( H41, $S41 - AR41)</f>
        <v>0.5</v>
      </c>
      <c r="AT41" t="s">
        <v>378</v>
      </c>
      <c r="AU41" s="8" t="str">
        <f>VLOOKUP( $AS41, Tables!$A$184:$H$193,  2 )</f>
        <v>Generic</v>
      </c>
      <c r="AV41" s="8" t="str">
        <f>VLOOKUP( $AS41, Tables!$A$184:$H$193,  3 )</f>
        <v>Gen</v>
      </c>
      <c r="AW41" s="90">
        <f>VLOOKUP( $AS41, Tables!$A$184:$H$193, 4 )</f>
        <v>1</v>
      </c>
      <c r="AX41" s="8">
        <f>VLOOKUP( $AS41, Tables!$A$184:$H$193,  5 )</f>
        <v>1</v>
      </c>
      <c r="AY41" s="8">
        <f>VLOOKUP( $AS41, Tables!$A$184:$H$193, 6 )</f>
        <v>0.5</v>
      </c>
      <c r="AZ41" s="8">
        <f>VLOOKUP( $AS41, Tables!$A$184:$H$193, 7 )</f>
        <v>0.9</v>
      </c>
      <c r="BA41" s="8">
        <f>VLOOKUP( $AS41, Tables!$A$184:$H$193, 8 )</f>
        <v>1.1000000000000001</v>
      </c>
      <c r="BB41" s="60">
        <f>VLOOKUP( $AS41, Tables!$A$184:$Q$193, 9 )</f>
        <v>0</v>
      </c>
      <c r="DL41">
        <f ca="1" xml:space="preserve"> IF( $AV41=Tables!$C$189, 5, RANDBETWEEN(1,6)+RANDBETWEEN(1,6)-2 )</f>
        <v>5</v>
      </c>
      <c r="DM41">
        <f ca="1" xml:space="preserve"> IF( $AV41=Tables!$C$189, 0, RANDBETWEEN(1,6)-RANDBETWEEN(1,6)+ VLOOKUP( $AS41, Tables!$A$184:$Q$193,  14 ) )</f>
        <v>0</v>
      </c>
      <c r="DN41">
        <f ca="1" xml:space="preserve"> IF( $AV41=Tables!$C$189, 0, RANDBETWEEN(1,6)-RANDBETWEEN(1,6)+ VLOOKUP( $AS41, Tables!$A$184:$Q$193,  15 ) )</f>
        <v>0</v>
      </c>
      <c r="DO41">
        <f ca="1" xml:space="preserve"> IF( $AV41=Tables!$C$189, 0, RANDBETWEEN(1,6)-RANDBETWEEN(1,6)+ VLOOKUP( $AS41, Tables!$A$184:$Q$193,  16 ) )</f>
        <v>0</v>
      </c>
      <c r="DP41">
        <f ca="1" xml:space="preserve"> IF( $AV41=Tables!$C$189, 0, RANDBETWEEN(1,6)-RANDBETWEEN(1,6)+ VLOOKUP( $AS41, Tables!$A$184:$Q$193,  17 ) )</f>
        <v>0</v>
      </c>
      <c r="DQ41" s="44" t="str">
        <f ca="1" xml:space="preserve"> VLOOKUP( $DL41,Tables!$B$2:$C$36,2)</f>
        <v>5</v>
      </c>
      <c r="DR41" t="str">
        <f t="shared" ca="1" si="200"/>
        <v xml:space="preserve"> 0</v>
      </c>
      <c r="DS41" t="str">
        <f t="shared" ca="1" si="201"/>
        <v xml:space="preserve"> 0</v>
      </c>
      <c r="DT41" t="str">
        <f t="shared" ca="1" si="202"/>
        <v xml:space="preserve"> 0</v>
      </c>
      <c r="DU41" t="str">
        <f t="shared" ca="1" si="203"/>
        <v xml:space="preserve"> 0</v>
      </c>
      <c r="DW41" s="194">
        <f xml:space="preserve"> SUM( DX$4:DX41, -DX41 )</f>
        <v>0</v>
      </c>
      <c r="DX41" s="194">
        <v>0</v>
      </c>
      <c r="DY41" s="194">
        <f xml:space="preserve"> SUM( DZ$4:DZ41, -DZ41 )</f>
        <v>0</v>
      </c>
      <c r="DZ41" s="194">
        <v>0</v>
      </c>
      <c r="EA41" s="194">
        <f xml:space="preserve"> SUM( EB$4:EB41, -EB41 )</f>
        <v>0</v>
      </c>
      <c r="EB41" s="194">
        <v>0</v>
      </c>
      <c r="EC41" s="194">
        <f xml:space="preserve"> SUM( ED$4:ED41, -ED41 )</f>
        <v>0</v>
      </c>
      <c r="ED41" s="194">
        <v>0</v>
      </c>
      <c r="EE41" s="194">
        <f xml:space="preserve"> SUM( EF$4:EF41, -EF41 )</f>
        <v>0</v>
      </c>
      <c r="EF41" s="194">
        <v>0</v>
      </c>
      <c r="EG41" s="194">
        <f xml:space="preserve"> SUM( EH$4:EH41, -EH41 )</f>
        <v>0</v>
      </c>
      <c r="EH41" s="194">
        <v>0</v>
      </c>
      <c r="EI41" s="194">
        <f xml:space="preserve"> SUM( EJ$4:EJ41, -EJ41 )</f>
        <v>0</v>
      </c>
      <c r="EJ41" s="194">
        <v>0</v>
      </c>
      <c r="EK41" s="194">
        <f xml:space="preserve"> SUM( EL$4:EL41, -EL41 )</f>
        <v>0</v>
      </c>
      <c r="EL41" s="194">
        <v>0</v>
      </c>
      <c r="EM41" s="194">
        <f xml:space="preserve"> SUM( EN$4:EN41, -EN41 )</f>
        <v>0</v>
      </c>
      <c r="EN41" s="194">
        <v>0</v>
      </c>
      <c r="EO41" s="194">
        <f xml:space="preserve"> SUM( EP$4:EP41, -EP41 )</f>
        <v>0</v>
      </c>
      <c r="EP41" s="194">
        <v>0</v>
      </c>
      <c r="EQ41" s="194">
        <f xml:space="preserve"> SUM( ER$4:ER41, -ER41 )</f>
        <v>23</v>
      </c>
      <c r="ER41" s="194">
        <f t="shared" si="197"/>
        <v>1</v>
      </c>
      <c r="ES41" s="194">
        <f xml:space="preserve"> SUM( ET$4:ET41, -ET41 )</f>
        <v>0</v>
      </c>
      <c r="ET41" s="194">
        <v>0</v>
      </c>
      <c r="EU41" s="194">
        <f xml:space="preserve"> SUM( EV$4:EV41, -EV41 )</f>
        <v>10</v>
      </c>
      <c r="EV41" s="194">
        <v>0</v>
      </c>
      <c r="EW41" s="194">
        <f xml:space="preserve"> SUM( EX$4:EX41, -EX41 )</f>
        <v>6</v>
      </c>
      <c r="EX41" s="194">
        <v>0</v>
      </c>
      <c r="EZ41" t="str">
        <f t="shared" si="92"/>
        <v>Scoops</v>
      </c>
      <c r="FB41" s="237">
        <f xml:space="preserve"> SUM( FC$4:FC41, -FC41 )</f>
        <v>1</v>
      </c>
      <c r="FC41" s="237">
        <v>0</v>
      </c>
      <c r="FD41" s="237">
        <f xml:space="preserve"> SUM( FE$4:FE41, -FE41 )</f>
        <v>1</v>
      </c>
      <c r="FE41" s="237">
        <v>0</v>
      </c>
      <c r="FF41" t="str">
        <f t="shared" si="16"/>
        <v>Scoops</v>
      </c>
    </row>
    <row r="42" spans="1:162">
      <c r="A42" t="s">
        <v>1104</v>
      </c>
      <c r="B42" s="8" t="str">
        <f t="shared" si="198"/>
        <v>Std</v>
      </c>
      <c r="C42" s="118">
        <f>J42 * 40</f>
        <v>0</v>
      </c>
      <c r="D42" s="66"/>
      <c r="E42" s="66"/>
      <c r="F42" s="66"/>
      <c r="G42" s="20">
        <f>1*(C16&lt;&gt;" ")</f>
        <v>0</v>
      </c>
      <c r="H42" s="57">
        <f t="shared" si="204"/>
        <v>0</v>
      </c>
      <c r="I42" s="14"/>
      <c r="J42" s="48">
        <f t="shared" ref="J42:J43" si="205">G42</f>
        <v>0</v>
      </c>
      <c r="K42" s="51">
        <f t="shared" ref="K42:K43" si="206" xml:space="preserve"> J42 * ( 1 )</f>
        <v>0</v>
      </c>
      <c r="L42" s="123">
        <f xml:space="preserve"> J42 * ( 0.1 ) * AY42 * ( 1 + 0.1*($S42=TL+1) )</f>
        <v>0</v>
      </c>
      <c r="M42" s="48"/>
      <c r="N42" s="48"/>
      <c r="O42" s="48"/>
      <c r="S42" s="223">
        <f t="shared" si="199"/>
        <v>12</v>
      </c>
      <c r="T42" t="str">
        <f xml:space="preserve"> IF( K42&gt;0, CONCATENATE( DQ42, DR42, DS42, DT42, DU42 ), "" )</f>
        <v/>
      </c>
      <c r="Z42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</v>
      </c>
      <c r="AA42" s="160" t="str">
        <f t="shared" si="126"/>
        <v/>
      </c>
      <c r="AB42" s="161" t="str">
        <f t="shared" si="74"/>
        <v>Water Intake</v>
      </c>
      <c r="AC42" s="160" t="str">
        <f t="shared" si="1"/>
        <v xml:space="preserve">                   </v>
      </c>
      <c r="AD42" s="160" t="str">
        <f t="shared" si="2"/>
        <v xml:space="preserve">           </v>
      </c>
      <c r="AE42" s="162" t="str">
        <f t="shared" si="63"/>
        <v>0</v>
      </c>
      <c r="AF42" s="160" t="str">
        <f t="shared" si="3"/>
        <v xml:space="preserve">           </v>
      </c>
      <c r="AG42" s="161" t="str">
        <f t="shared" si="64"/>
        <v>0</v>
      </c>
      <c r="AH42" s="160" t="str">
        <f t="shared" si="53"/>
        <v xml:space="preserve">           </v>
      </c>
      <c r="AI42" s="163" t="str">
        <f t="shared" si="65"/>
        <v>0</v>
      </c>
      <c r="AJ42" s="160" t="str">
        <f t="shared" si="5"/>
        <v xml:space="preserve">      </v>
      </c>
      <c r="AK42" s="163" t="str">
        <f t="shared" si="14"/>
        <v/>
      </c>
      <c r="AL42" s="163"/>
      <c r="AM42" s="153"/>
      <c r="AN42" s="153"/>
      <c r="AO42" s="153">
        <f xml:space="preserve"> (J42&gt;0) * ROUNDUP( K42/35, 0 )</f>
        <v>0</v>
      </c>
      <c r="AP42" s="153"/>
      <c r="AR42" s="103">
        <v>8</v>
      </c>
      <c r="AS42" s="98">
        <f xml:space="preserve"> MIN( H42, $S42 - AR42)</f>
        <v>0</v>
      </c>
      <c r="AT42" t="s">
        <v>378</v>
      </c>
      <c r="AU42" s="8" t="str">
        <f>VLOOKUP( $AS42, Tables!$A$184:$H$193,  2 )</f>
        <v>Standard</v>
      </c>
      <c r="AV42" s="8" t="str">
        <f>VLOOKUP( $AS42, Tables!$A$184:$H$193,  3 )</f>
        <v>Std</v>
      </c>
      <c r="AW42" s="90">
        <f>VLOOKUP( $AS42, Tables!$A$184:$H$193, 4 )</f>
        <v>0</v>
      </c>
      <c r="AX42" s="8">
        <f>VLOOKUP( $AS42, Tables!$A$184:$H$193,  5 )</f>
        <v>1</v>
      </c>
      <c r="AY42" s="8">
        <f>VLOOKUP( $AS42, Tables!$A$184:$H$193, 6 )</f>
        <v>1</v>
      </c>
      <c r="AZ42" s="8">
        <f>VLOOKUP( $AS42, Tables!$A$184:$H$193, 7 )</f>
        <v>1</v>
      </c>
      <c r="BA42" s="8">
        <f>VLOOKUP( $AS42, Tables!$A$184:$H$193, 8 )</f>
        <v>1</v>
      </c>
      <c r="BB42" s="60">
        <f>VLOOKUP( $AS42, Tables!$A$184:$Q$193, 9 )</f>
        <v>0</v>
      </c>
      <c r="DL42">
        <f ca="1" xml:space="preserve"> IF( $AV42=Tables!$C$189, 5, RANDBETWEEN(1,6)+RANDBETWEEN(1,6)-2 )</f>
        <v>1</v>
      </c>
      <c r="DM42">
        <f ca="1" xml:space="preserve"> IF( $AV42=Tables!$C$189, 0, RANDBETWEEN(1,6)-RANDBETWEEN(1,6)+ VLOOKUP( $AS42, Tables!$A$184:$Q$193,  14 ) )</f>
        <v>-2</v>
      </c>
      <c r="DN42">
        <f ca="1" xml:space="preserve"> IF( $AV42=Tables!$C$189, 0, RANDBETWEEN(1,6)-RANDBETWEEN(1,6)+ VLOOKUP( $AS42, Tables!$A$184:$Q$193,  15 ) )</f>
        <v>3</v>
      </c>
      <c r="DO42">
        <f ca="1" xml:space="preserve"> IF( $AV42=Tables!$C$189, 0, RANDBETWEEN(1,6)-RANDBETWEEN(1,6)+ VLOOKUP( $AS42, Tables!$A$184:$Q$193,  16 ) )</f>
        <v>-1</v>
      </c>
      <c r="DP42">
        <f ca="1" xml:space="preserve"> IF( $AV42=Tables!$C$189, 0, RANDBETWEEN(1,6)-RANDBETWEEN(1,6)+ VLOOKUP( $AS42, Tables!$A$184:$Q$193,  17 ) )</f>
        <v>-2</v>
      </c>
      <c r="DQ42" s="44" t="str">
        <f ca="1" xml:space="preserve"> VLOOKUP( $DL42,Tables!$B$2:$C$36,2)</f>
        <v>1</v>
      </c>
      <c r="DR42" t="str">
        <f t="shared" ca="1" si="200"/>
        <v>-2</v>
      </c>
      <c r="DS42" t="str">
        <f t="shared" ca="1" si="201"/>
        <v xml:space="preserve"> 3</v>
      </c>
      <c r="DT42" t="str">
        <f t="shared" ca="1" si="202"/>
        <v>-1</v>
      </c>
      <c r="DU42" t="str">
        <f t="shared" ca="1" si="203"/>
        <v>-2</v>
      </c>
      <c r="DW42" s="194">
        <f xml:space="preserve"> SUM( DX$4:DX42, -DX42 )</f>
        <v>0</v>
      </c>
      <c r="DX42" s="194">
        <v>0</v>
      </c>
      <c r="DY42" s="194">
        <f xml:space="preserve"> SUM( DZ$4:DZ42, -DZ42 )</f>
        <v>0</v>
      </c>
      <c r="DZ42" s="194">
        <v>0</v>
      </c>
      <c r="EA42" s="194">
        <f xml:space="preserve"> SUM( EB$4:EB42, -EB42 )</f>
        <v>0</v>
      </c>
      <c r="EB42" s="194">
        <v>0</v>
      </c>
      <c r="EC42" s="194">
        <f xml:space="preserve"> SUM( ED$4:ED42, -ED42 )</f>
        <v>0</v>
      </c>
      <c r="ED42" s="194">
        <v>0</v>
      </c>
      <c r="EE42" s="194">
        <f xml:space="preserve"> SUM( EF$4:EF42, -EF42 )</f>
        <v>0</v>
      </c>
      <c r="EF42" s="194">
        <v>0</v>
      </c>
      <c r="EG42" s="194">
        <f xml:space="preserve"> SUM( EH$4:EH42, -EH42 )</f>
        <v>0</v>
      </c>
      <c r="EH42" s="194">
        <v>0</v>
      </c>
      <c r="EI42" s="194">
        <f xml:space="preserve"> SUM( EJ$4:EJ42, -EJ42 )</f>
        <v>0</v>
      </c>
      <c r="EJ42" s="194">
        <v>0</v>
      </c>
      <c r="EK42" s="194">
        <f xml:space="preserve"> SUM( EL$4:EL42, -EL42 )</f>
        <v>0</v>
      </c>
      <c r="EL42" s="194">
        <v>0</v>
      </c>
      <c r="EM42" s="194">
        <f xml:space="preserve"> SUM( EN$4:EN42, -EN42 )</f>
        <v>0</v>
      </c>
      <c r="EN42" s="194">
        <v>0</v>
      </c>
      <c r="EO42" s="194">
        <f xml:space="preserve"> SUM( EP$4:EP42, -EP42 )</f>
        <v>0</v>
      </c>
      <c r="EP42" s="194">
        <v>0</v>
      </c>
      <c r="EQ42" s="194">
        <f xml:space="preserve"> SUM( ER$4:ER42, -ER42 )</f>
        <v>24</v>
      </c>
      <c r="ER42" s="194">
        <f t="shared" si="197"/>
        <v>0</v>
      </c>
      <c r="ES42" s="194">
        <f xml:space="preserve"> SUM( ET$4:ET42, -ET42 )</f>
        <v>0</v>
      </c>
      <c r="ET42" s="194">
        <v>0</v>
      </c>
      <c r="EU42" s="194">
        <f xml:space="preserve"> SUM( EV$4:EV42, -EV42 )</f>
        <v>10</v>
      </c>
      <c r="EV42" s="194">
        <v>0</v>
      </c>
      <c r="EW42" s="194">
        <f xml:space="preserve"> SUM( EX$4:EX42, -EX42 )</f>
        <v>6</v>
      </c>
      <c r="EX42" s="194">
        <v>0</v>
      </c>
      <c r="EZ42" t="str">
        <f t="shared" si="92"/>
        <v>Water Intake</v>
      </c>
      <c r="FB42" s="237">
        <f xml:space="preserve"> SUM( FC$4:FC42, -FC42 )</f>
        <v>1</v>
      </c>
      <c r="FC42" s="237">
        <v>0</v>
      </c>
      <c r="FD42" s="237">
        <f xml:space="preserve"> SUM( FE$4:FE42, -FE42 )</f>
        <v>1</v>
      </c>
      <c r="FE42" s="237">
        <v>0</v>
      </c>
      <c r="FF42" t="str">
        <f t="shared" si="16"/>
        <v>Water Intake</v>
      </c>
    </row>
    <row r="43" spans="1:162">
      <c r="A43" t="s">
        <v>877</v>
      </c>
      <c r="B43" s="8" t="str">
        <f t="shared" si="198"/>
        <v>Std</v>
      </c>
      <c r="C43" s="118">
        <f>J43 * 20</f>
        <v>0</v>
      </c>
      <c r="D43" s="66"/>
      <c r="E43" s="66"/>
      <c r="F43" s="66"/>
      <c r="G43" s="20">
        <v>0</v>
      </c>
      <c r="H43" s="57">
        <f t="shared" si="204"/>
        <v>0</v>
      </c>
      <c r="I43" s="14"/>
      <c r="J43" s="48">
        <f t="shared" si="205"/>
        <v>0</v>
      </c>
      <c r="K43" s="51">
        <f t="shared" si="206"/>
        <v>0</v>
      </c>
      <c r="L43" s="123">
        <f xml:space="preserve"> J43 * ( 0.1 ) * AY43 * ( 1 + 0.1*($S43=TL+1) )</f>
        <v>0</v>
      </c>
      <c r="M43" s="48"/>
      <c r="N43" s="48"/>
      <c r="O43" s="48"/>
      <c r="S43" s="223">
        <f t="shared" si="199"/>
        <v>12</v>
      </c>
      <c r="T43" t="str">
        <f xml:space="preserve"> IF( K43&gt;0, CONCATENATE( DQ43, DR43, DS43, DT43, DU43 ), "" )</f>
        <v/>
      </c>
      <c r="Z43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</v>
      </c>
      <c r="AA43" s="160" t="str">
        <f t="shared" si="126"/>
        <v/>
      </c>
      <c r="AB43" s="161" t="str">
        <f t="shared" si="74"/>
        <v>Ice Bin</v>
      </c>
      <c r="AC43" s="160" t="str">
        <f t="shared" si="1"/>
        <v xml:space="preserve">                        </v>
      </c>
      <c r="AD43" s="160" t="str">
        <f t="shared" si="2"/>
        <v xml:space="preserve">           </v>
      </c>
      <c r="AE43" s="162" t="str">
        <f t="shared" si="63"/>
        <v>0</v>
      </c>
      <c r="AF43" s="160" t="str">
        <f t="shared" si="3"/>
        <v xml:space="preserve">           </v>
      </c>
      <c r="AG43" s="161" t="str">
        <f t="shared" si="64"/>
        <v>0</v>
      </c>
      <c r="AH43" s="160" t="str">
        <f t="shared" si="53"/>
        <v xml:space="preserve">           </v>
      </c>
      <c r="AI43" s="163" t="str">
        <f t="shared" si="65"/>
        <v>0</v>
      </c>
      <c r="AJ43" s="160" t="str">
        <f t="shared" si="5"/>
        <v xml:space="preserve">      </v>
      </c>
      <c r="AK43" s="163" t="str">
        <f t="shared" si="14"/>
        <v/>
      </c>
      <c r="AL43" s="163"/>
      <c r="AM43" s="153"/>
      <c r="AN43" s="153"/>
      <c r="AO43" s="153">
        <f xml:space="preserve"> (J43&gt;0) * ROUNDUP( K43/35, 0 )</f>
        <v>0</v>
      </c>
      <c r="AP43" s="153"/>
      <c r="AR43" s="103">
        <v>8</v>
      </c>
      <c r="AS43" s="98">
        <f xml:space="preserve"> MIN( H43, $S43 - AR43)</f>
        <v>0</v>
      </c>
      <c r="AT43" t="s">
        <v>378</v>
      </c>
      <c r="AU43" s="8" t="str">
        <f>VLOOKUP( $AS43, Tables!$A$184:$H$193,  2 )</f>
        <v>Standard</v>
      </c>
      <c r="AV43" s="8" t="str">
        <f>VLOOKUP( $AS43, Tables!$A$184:$H$193,  3 )</f>
        <v>Std</v>
      </c>
      <c r="AW43" s="90">
        <f>VLOOKUP( $AS43, Tables!$A$184:$H$193, 4 )</f>
        <v>0</v>
      </c>
      <c r="AX43" s="8">
        <f>VLOOKUP( $AS43, Tables!$A$184:$H$193,  5 )</f>
        <v>1</v>
      </c>
      <c r="AY43" s="8">
        <f>VLOOKUP( $AS43, Tables!$A$184:$H$193, 6 )</f>
        <v>1</v>
      </c>
      <c r="AZ43" s="8">
        <f>VLOOKUP( $AS43, Tables!$A$184:$H$193, 7 )</f>
        <v>1</v>
      </c>
      <c r="BA43" s="8">
        <f>VLOOKUP( $AS43, Tables!$A$184:$H$193, 8 )</f>
        <v>1</v>
      </c>
      <c r="BB43" s="60">
        <f>VLOOKUP( $AS43, Tables!$A$184:$Q$193, 9 )</f>
        <v>0</v>
      </c>
      <c r="DL43">
        <f ca="1" xml:space="preserve"> IF( $AV43=Tables!$C$189, 5, RANDBETWEEN(1,6)+RANDBETWEEN(1,6)-2 )</f>
        <v>2</v>
      </c>
      <c r="DM43">
        <f ca="1" xml:space="preserve"> IF( $AV43=Tables!$C$189, 0, RANDBETWEEN(1,6)-RANDBETWEEN(1,6)+ VLOOKUP( $AS43, Tables!$A$184:$Q$193,  14 ) )</f>
        <v>0</v>
      </c>
      <c r="DN43">
        <f ca="1" xml:space="preserve"> IF( $AV43=Tables!$C$189, 0, RANDBETWEEN(1,6)-RANDBETWEEN(1,6)+ VLOOKUP( $AS43, Tables!$A$184:$Q$193,  15 ) )</f>
        <v>2</v>
      </c>
      <c r="DO43">
        <f ca="1" xml:space="preserve"> IF( $AV43=Tables!$C$189, 0, RANDBETWEEN(1,6)-RANDBETWEEN(1,6)+ VLOOKUP( $AS43, Tables!$A$184:$Q$193,  16 ) )</f>
        <v>1</v>
      </c>
      <c r="DP43">
        <f ca="1" xml:space="preserve"> IF( $AV43=Tables!$C$189, 0, RANDBETWEEN(1,6)-RANDBETWEEN(1,6)+ VLOOKUP( $AS43, Tables!$A$184:$Q$193,  17 ) )</f>
        <v>-1</v>
      </c>
      <c r="DQ43" s="44" t="str">
        <f ca="1" xml:space="preserve"> VLOOKUP( $DL43,Tables!$B$2:$C$36,2)</f>
        <v>2</v>
      </c>
      <c r="DR43" t="str">
        <f t="shared" ca="1" si="200"/>
        <v xml:space="preserve"> 0</v>
      </c>
      <c r="DS43" t="str">
        <f t="shared" ca="1" si="201"/>
        <v xml:space="preserve"> 2</v>
      </c>
      <c r="DT43" t="str">
        <f t="shared" ca="1" si="202"/>
        <v xml:space="preserve"> 1</v>
      </c>
      <c r="DU43" t="str">
        <f t="shared" ca="1" si="203"/>
        <v>-1</v>
      </c>
      <c r="DW43" s="194">
        <f xml:space="preserve"> SUM( DX$4:DX43, -DX43 )</f>
        <v>0</v>
      </c>
      <c r="DX43" s="194">
        <v>0</v>
      </c>
      <c r="DY43" s="194">
        <f xml:space="preserve"> SUM( DZ$4:DZ43, -DZ43 )</f>
        <v>0</v>
      </c>
      <c r="DZ43" s="194">
        <v>0</v>
      </c>
      <c r="EA43" s="194">
        <f xml:space="preserve"> SUM( EB$4:EB43, -EB43 )</f>
        <v>0</v>
      </c>
      <c r="EB43" s="194">
        <v>0</v>
      </c>
      <c r="EC43" s="194">
        <f xml:space="preserve"> SUM( ED$4:ED43, -ED43 )</f>
        <v>0</v>
      </c>
      <c r="ED43" s="194">
        <v>0</v>
      </c>
      <c r="EE43" s="194">
        <f xml:space="preserve"> SUM( EF$4:EF43, -EF43 )</f>
        <v>0</v>
      </c>
      <c r="EF43" s="194">
        <v>0</v>
      </c>
      <c r="EG43" s="194">
        <f xml:space="preserve"> SUM( EH$4:EH43, -EH43 )</f>
        <v>0</v>
      </c>
      <c r="EH43" s="194">
        <v>0</v>
      </c>
      <c r="EI43" s="194">
        <f xml:space="preserve"> SUM( EJ$4:EJ43, -EJ43 )</f>
        <v>0</v>
      </c>
      <c r="EJ43" s="194">
        <v>0</v>
      </c>
      <c r="EK43" s="194">
        <f xml:space="preserve"> SUM( EL$4:EL43, -EL43 )</f>
        <v>0</v>
      </c>
      <c r="EL43" s="194">
        <v>0</v>
      </c>
      <c r="EM43" s="194">
        <f xml:space="preserve"> SUM( EN$4:EN43, -EN43 )</f>
        <v>0</v>
      </c>
      <c r="EN43" s="194">
        <v>0</v>
      </c>
      <c r="EO43" s="194">
        <f xml:space="preserve"> SUM( EP$4:EP43, -EP43 )</f>
        <v>0</v>
      </c>
      <c r="EP43" s="194">
        <v>0</v>
      </c>
      <c r="EQ43" s="194">
        <f xml:space="preserve"> SUM( ER$4:ER43, -ER43 )</f>
        <v>24</v>
      </c>
      <c r="ER43" s="194">
        <f t="shared" si="197"/>
        <v>0</v>
      </c>
      <c r="ES43" s="194">
        <f xml:space="preserve"> SUM( ET$4:ET43, -ET43 )</f>
        <v>0</v>
      </c>
      <c r="ET43" s="194">
        <v>0</v>
      </c>
      <c r="EU43" s="194">
        <f xml:space="preserve"> SUM( EV$4:EV43, -EV43 )</f>
        <v>10</v>
      </c>
      <c r="EV43" s="194">
        <v>0</v>
      </c>
      <c r="EW43" s="194">
        <f xml:space="preserve"> SUM( EX$4:EX43, -EX43 )</f>
        <v>6</v>
      </c>
      <c r="EX43" s="194">
        <v>0</v>
      </c>
      <c r="EZ43" t="str">
        <f t="shared" si="92"/>
        <v>Ice Bin</v>
      </c>
      <c r="FB43" s="237">
        <f xml:space="preserve"> SUM( FC$4:FC43, -FC43 )</f>
        <v>1</v>
      </c>
      <c r="FC43" s="237">
        <v>0</v>
      </c>
      <c r="FD43" s="237">
        <f xml:space="preserve"> SUM( FE$4:FE43, -FE43 )</f>
        <v>1</v>
      </c>
      <c r="FE43" s="237">
        <v>0</v>
      </c>
      <c r="FF43" t="str">
        <f t="shared" si="16"/>
        <v>Ice Bin</v>
      </c>
    </row>
    <row r="44" spans="1:162">
      <c r="C44" s="15"/>
      <c r="D44" s="15"/>
      <c r="E44" s="66"/>
      <c r="F44" s="66"/>
      <c r="G44" s="3"/>
      <c r="H44" s="26"/>
      <c r="I44" s="4"/>
      <c r="J44" s="3"/>
      <c r="K44" s="51"/>
      <c r="L44" s="51"/>
      <c r="M44" s="3"/>
      <c r="N44" s="48"/>
      <c r="O44" s="3"/>
      <c r="S44" s="223"/>
      <c r="Z44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                                                                         </v>
      </c>
      <c r="AA44" s="160" t="str">
        <f xml:space="preserve"> IF( OR(TRUE), CONCATENATE( newline &amp; AB44 &amp; AC44 &amp; AD44 &amp; AE44 &amp; AF44 &amp; AG44 &amp; AH44 &amp; AI44 &amp; AJ44 &amp; AK44 ), "" )</f>
        <v xml:space="preserve">
                                                                         </v>
      </c>
      <c r="AB44" s="161" t="str">
        <f t="shared" si="74"/>
        <v/>
      </c>
      <c r="AC44" s="160" t="str">
        <f t="shared" si="1"/>
        <v xml:space="preserve">                               </v>
      </c>
      <c r="AD44" s="160" t="str">
        <f t="shared" si="2"/>
        <v xml:space="preserve">            </v>
      </c>
      <c r="AE44" s="162" t="str">
        <f t="shared" si="63"/>
        <v/>
      </c>
      <c r="AF44" s="160" t="str">
        <f t="shared" si="3"/>
        <v xml:space="preserve">            </v>
      </c>
      <c r="AG44" s="161" t="str">
        <f t="shared" si="64"/>
        <v/>
      </c>
      <c r="AH44" s="160" t="str">
        <f t="shared" si="53"/>
        <v xml:space="preserve">            </v>
      </c>
      <c r="AI44" s="163" t="str">
        <f t="shared" si="65"/>
        <v/>
      </c>
      <c r="AJ44" s="160" t="str">
        <f t="shared" si="5"/>
        <v xml:space="preserve">      </v>
      </c>
      <c r="AK44" s="163" t="str">
        <f t="shared" si="14"/>
        <v/>
      </c>
      <c r="AL44" s="163"/>
      <c r="AM44" s="153"/>
      <c r="AN44" s="153"/>
      <c r="AO44" s="153"/>
      <c r="AP44" s="153"/>
      <c r="BY44" s="106"/>
      <c r="DL44"/>
      <c r="DQ44" s="44"/>
      <c r="DW44" s="194">
        <f xml:space="preserve"> SUM( DX$4:DX44, -DX44 )</f>
        <v>0</v>
      </c>
      <c r="DX44" s="194">
        <v>0</v>
      </c>
      <c r="DY44" s="194">
        <f xml:space="preserve"> SUM( DZ$4:DZ44, -DZ44 )</f>
        <v>0</v>
      </c>
      <c r="DZ44" s="194">
        <v>0</v>
      </c>
      <c r="EA44" s="194">
        <f xml:space="preserve"> SUM( EB$4:EB44, -EB44 )</f>
        <v>0</v>
      </c>
      <c r="EB44" s="194">
        <v>0</v>
      </c>
      <c r="EC44" s="194">
        <f xml:space="preserve"> SUM( ED$4:ED44, -ED44 )</f>
        <v>0</v>
      </c>
      <c r="ED44" s="194">
        <v>0</v>
      </c>
      <c r="EE44" s="194">
        <f xml:space="preserve"> SUM( EF$4:EF44, -EF44 )</f>
        <v>0</v>
      </c>
      <c r="EF44" s="194">
        <v>0</v>
      </c>
      <c r="EG44" s="194">
        <f xml:space="preserve"> SUM( EH$4:EH44, -EH44 )</f>
        <v>0</v>
      </c>
      <c r="EH44" s="194">
        <v>0</v>
      </c>
      <c r="EI44" s="194">
        <f xml:space="preserve"> SUM( EJ$4:EJ44, -EJ44 )</f>
        <v>0</v>
      </c>
      <c r="EJ44" s="194">
        <v>0</v>
      </c>
      <c r="EK44" s="194">
        <f xml:space="preserve"> SUM( EL$4:EL44, -EL44 )</f>
        <v>0</v>
      </c>
      <c r="EL44" s="194">
        <v>0</v>
      </c>
      <c r="EM44" s="194">
        <f xml:space="preserve"> SUM( EN$4:EN44, -EN44 )</f>
        <v>0</v>
      </c>
      <c r="EN44" s="194">
        <v>0</v>
      </c>
      <c r="EO44" s="194">
        <f xml:space="preserve"> SUM( EP$4:EP44, -EP44 )</f>
        <v>0</v>
      </c>
      <c r="EP44" s="194">
        <v>0</v>
      </c>
      <c r="EQ44" s="194">
        <f xml:space="preserve"> SUM( ER$4:ER44, -ER44 )</f>
        <v>24</v>
      </c>
      <c r="ER44" s="194">
        <v>0</v>
      </c>
      <c r="ES44" s="194">
        <f xml:space="preserve"> SUM( ET$4:ET44, -ET44 )</f>
        <v>0</v>
      </c>
      <c r="ET44" s="194">
        <v>0</v>
      </c>
      <c r="EU44" s="194">
        <f xml:space="preserve"> SUM( EV$4:EV44, -EV44 )</f>
        <v>10</v>
      </c>
      <c r="EV44" s="194">
        <v>0</v>
      </c>
      <c r="EW44" s="194">
        <f xml:space="preserve"> SUM( EX$4:EX44, -EX44 )</f>
        <v>6</v>
      </c>
      <c r="EX44" s="194">
        <v>0</v>
      </c>
      <c r="EZ44">
        <f t="shared" si="92"/>
        <v>0</v>
      </c>
      <c r="FB44" s="237">
        <f xml:space="preserve"> SUM( FC$4:FC44, -FC44 )</f>
        <v>1</v>
      </c>
      <c r="FC44" s="237">
        <v>0</v>
      </c>
      <c r="FD44" s="237">
        <f xml:space="preserve"> SUM( FE$4:FE44, -FE44 )</f>
        <v>1</v>
      </c>
      <c r="FE44" s="237">
        <v>0</v>
      </c>
      <c r="FF44">
        <f t="shared" si="16"/>
        <v>0</v>
      </c>
    </row>
    <row r="45" spans="1:162">
      <c r="A45" s="94" t="s">
        <v>682</v>
      </c>
      <c r="C45" s="116">
        <f xml:space="preserve"> SUM( K45:K50 )</f>
        <v>13</v>
      </c>
      <c r="D45" s="15" t="s">
        <v>617</v>
      </c>
      <c r="E45" s="66"/>
      <c r="F45" s="66"/>
      <c r="G45" s="58">
        <f xml:space="preserve"> 1 + 1*(Hull&gt;=100)</f>
        <v>2</v>
      </c>
      <c r="H45" s="26"/>
      <c r="I45" s="59">
        <f xml:space="preserve"> IFERROR( ROUNDUP( SUM( CE45:CE50 ) / AO2, 0 ), 0 )</f>
        <v>2</v>
      </c>
      <c r="J45" s="3"/>
      <c r="K45" s="51"/>
      <c r="L45" s="51">
        <f>SUM(K45:K48)*0.1 * 0</f>
        <v>0</v>
      </c>
      <c r="M45" s="3"/>
      <c r="N45" s="48"/>
      <c r="O45" s="3"/>
      <c r="Q45" t="s">
        <v>215</v>
      </c>
      <c r="R45" t="s">
        <v>1051</v>
      </c>
      <c r="S45" s="223"/>
      <c r="Z45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                                                                         </v>
      </c>
      <c r="AA45" s="160" t="str">
        <f t="shared" si="126"/>
        <v/>
      </c>
      <c r="AB45" s="161" t="str">
        <f t="shared" si="74"/>
        <v>Controls</v>
      </c>
      <c r="AC45" s="160" t="str">
        <f t="shared" si="1"/>
        <v xml:space="preserve">                       </v>
      </c>
      <c r="AD45" s="160" t="str">
        <f t="shared" si="2"/>
        <v xml:space="preserve">            </v>
      </c>
      <c r="AE45" s="162" t="str">
        <f t="shared" si="63"/>
        <v/>
      </c>
      <c r="AF45" s="160" t="str">
        <f t="shared" si="3"/>
        <v xml:space="preserve">            </v>
      </c>
      <c r="AG45" s="161" t="str">
        <f t="shared" si="64"/>
        <v/>
      </c>
      <c r="AH45" s="160" t="str">
        <f t="shared" si="53"/>
        <v xml:space="preserve">           </v>
      </c>
      <c r="AI45" s="163" t="str">
        <f t="shared" si="65"/>
        <v>0</v>
      </c>
      <c r="AJ45" s="160" t="str">
        <f t="shared" si="5"/>
        <v xml:space="preserve">      </v>
      </c>
      <c r="AK45" s="163" t="str">
        <f t="shared" si="14"/>
        <v/>
      </c>
      <c r="AL45" s="163"/>
      <c r="AM45" s="153"/>
      <c r="AN45" s="153"/>
      <c r="AO45" s="153">
        <f xml:space="preserve"> ( 2 + 3 * (Hull&gt;=100) ) * 0</f>
        <v>0</v>
      </c>
      <c r="AP45" s="153" t="s">
        <v>892</v>
      </c>
      <c r="AQ45">
        <f>K45 - J48*BG48*IF(F48&gt;0,BN48,1)</f>
        <v>-1</v>
      </c>
      <c r="AR45" s="48">
        <f>SUM( G46:G47 )</f>
        <v>-2</v>
      </c>
      <c r="AS45">
        <f>AQ45*2/AR45 - 5</f>
        <v>-4</v>
      </c>
      <c r="BG45" s="1" t="s">
        <v>5</v>
      </c>
      <c r="BH45" s="1" t="str">
        <f>"+EDU Cost"</f>
        <v>+EDU Cost</v>
      </c>
      <c r="BI45" s="1" t="s">
        <v>6</v>
      </c>
      <c r="BJ45" s="1" t="s">
        <v>167</v>
      </c>
      <c r="BK45" s="1" t="s">
        <v>168</v>
      </c>
      <c r="BL45" s="1" t="s">
        <v>169</v>
      </c>
      <c r="BN45" s="1" t="s">
        <v>353</v>
      </c>
      <c r="BP45" s="1" t="s">
        <v>139</v>
      </c>
      <c r="BX45" s="1" t="s">
        <v>1105</v>
      </c>
      <c r="BY45" s="1" t="s">
        <v>942</v>
      </c>
      <c r="BZ45" s="106"/>
      <c r="CA45" s="246" t="s">
        <v>943</v>
      </c>
      <c r="CB45" s="247">
        <f xml:space="preserve"> SUM(J126:J129, J138:J140)</f>
        <v>3</v>
      </c>
      <c r="CC45" s="247">
        <f xml:space="preserve"> J125</f>
        <v>6</v>
      </c>
      <c r="CG45" t="s">
        <v>64</v>
      </c>
      <c r="CH45" s="263">
        <f xml:space="preserve"> ( G45-1 ) * AO2 / MAX( 1, SUM( J126:J150 ) ) +0.5</f>
        <v>2.166666666666667</v>
      </c>
      <c r="CI45" t="str">
        <f xml:space="preserve"> IFERROR( LOOKUP( CH45, Tables!$B$336:$B$339, ValidConsoles ), Tables!$A$339 )</f>
        <v>Spacious</v>
      </c>
      <c r="DL45"/>
      <c r="DQ45" s="44"/>
      <c r="DW45" s="194">
        <f xml:space="preserve"> SUM( DX$4:DX45, -DX45 )</f>
        <v>0</v>
      </c>
      <c r="DX45" s="194">
        <v>0</v>
      </c>
      <c r="DY45" s="194">
        <f xml:space="preserve"> SUM( DZ$4:DZ45, -DZ45 )</f>
        <v>0</v>
      </c>
      <c r="DZ45" s="194">
        <f>K45</f>
        <v>0</v>
      </c>
      <c r="EA45" s="194">
        <f xml:space="preserve"> SUM( EB$4:EB45, -EB45 )</f>
        <v>0</v>
      </c>
      <c r="EB45" s="194">
        <v>0</v>
      </c>
      <c r="EC45" s="194">
        <f xml:space="preserve"> SUM( ED$4:ED45, -ED45 )</f>
        <v>0</v>
      </c>
      <c r="ED45" s="194">
        <v>0</v>
      </c>
      <c r="EE45" s="194">
        <f xml:space="preserve"> SUM( EF$4:EF45, -EF45 )</f>
        <v>0</v>
      </c>
      <c r="EF45" s="194">
        <v>0</v>
      </c>
      <c r="EG45" s="194">
        <f xml:space="preserve"> SUM( EH$4:EH45, -EH45 )</f>
        <v>0</v>
      </c>
      <c r="EH45" s="194">
        <v>0</v>
      </c>
      <c r="EI45" s="194">
        <f xml:space="preserve"> SUM( EJ$4:EJ45, -EJ45 )</f>
        <v>0</v>
      </c>
      <c r="EJ45" s="194">
        <v>0</v>
      </c>
      <c r="EK45" s="194">
        <f xml:space="preserve"> SUM( EL$4:EL45, -EL45 )</f>
        <v>0</v>
      </c>
      <c r="EL45" s="194">
        <v>0</v>
      </c>
      <c r="EM45" s="194">
        <f xml:space="preserve"> SUM( EN$4:EN45, -EN45 )</f>
        <v>0</v>
      </c>
      <c r="EN45" s="194">
        <v>0</v>
      </c>
      <c r="EO45" s="194">
        <f xml:space="preserve"> SUM( EP$4:EP45, -EP45 )</f>
        <v>0</v>
      </c>
      <c r="EP45" s="194">
        <v>0</v>
      </c>
      <c r="EQ45" s="194">
        <f xml:space="preserve"> SUM( ER$4:ER45, -ER45 )</f>
        <v>24</v>
      </c>
      <c r="ER45" s="194">
        <v>0</v>
      </c>
      <c r="ES45" s="194">
        <f xml:space="preserve"> SUM( ET$4:ET45, -ET45 )</f>
        <v>0</v>
      </c>
      <c r="ET45" s="194">
        <v>0</v>
      </c>
      <c r="EU45" s="194">
        <f xml:space="preserve"> SUM( EV$4:EV45, -EV45 )</f>
        <v>10</v>
      </c>
      <c r="EV45" s="194">
        <v>0</v>
      </c>
      <c r="EW45" s="194">
        <f xml:space="preserve"> SUM( EX$4:EX45, -EX45 )</f>
        <v>6</v>
      </c>
      <c r="EX45" s="194">
        <v>0</v>
      </c>
      <c r="EZ45" t="str">
        <f t="shared" si="92"/>
        <v>Controls</v>
      </c>
      <c r="FB45" s="237">
        <f xml:space="preserve"> SUM( FC$4:FC45, -FC45 )</f>
        <v>1</v>
      </c>
      <c r="FC45" s="237">
        <v>0</v>
      </c>
      <c r="FD45" s="237">
        <f xml:space="preserve"> SUM( FE$4:FE45, -FE45 )</f>
        <v>1</v>
      </c>
      <c r="FE45" s="237">
        <v>0</v>
      </c>
      <c r="FF45" t="str">
        <f t="shared" si="16"/>
        <v>Controls</v>
      </c>
    </row>
    <row r="46" spans="1:162">
      <c r="A46" t="s">
        <v>201</v>
      </c>
      <c r="B46" s="8" t="str">
        <f>AV46</f>
        <v>Gen</v>
      </c>
      <c r="C46" s="63" t="str">
        <f>CI45</f>
        <v>Spacious</v>
      </c>
      <c r="D46" s="99">
        <f xml:space="preserve"> MAX( S46 - AW46 + BB46, BN46 ) * (J46&gt;0)</f>
        <v>11</v>
      </c>
      <c r="E46" s="66"/>
      <c r="F46" s="66"/>
      <c r="G46" s="211">
        <v>-1</v>
      </c>
      <c r="H46" s="57">
        <f xml:space="preserve"> (J46&gt;0) * ( 0.5*(Military&gt;=0) + 1.5*(Military&gt;0) + 7*(Military&gt;1) )</f>
        <v>0.5</v>
      </c>
      <c r="I46" s="4"/>
      <c r="J46" s="48">
        <f xml:space="preserve"> MAX(  0,  IF( G46&lt;0, MAX(2,CB46), G46 )  )</f>
        <v>3</v>
      </c>
      <c r="K46" s="51">
        <f xml:space="preserve"> J46 * VLOOKUP( C46, Tables!$A$336:$B$339, 2, 0 )</f>
        <v>6</v>
      </c>
      <c r="L46" s="51">
        <f xml:space="preserve"> J46 * ( 0.2 * AY46 + BP46 ) * ( 1 + 0.1*($S46=TL+1) )</f>
        <v>0.39</v>
      </c>
      <c r="M46" s="48"/>
      <c r="N46" s="48"/>
      <c r="O46" s="48"/>
      <c r="Q46" s="16" t="s">
        <v>216</v>
      </c>
      <c r="R46" s="16" t="s">
        <v>171</v>
      </c>
      <c r="S46" s="223">
        <f t="shared" ref="S46:S49" si="207" xml:space="preserve"> TL</f>
        <v>12</v>
      </c>
      <c r="T46" t="str">
        <f ca="1" xml:space="preserve"> IF( K46&gt;0, CONCATENATE( DQ46, DR46, DS46, DT46, DU46 ), "" )</f>
        <v>5 0 0 0 0</v>
      </c>
      <c r="Z46" s="160" t="str">
        <f t="shared" si="170"/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</v>
      </c>
      <c r="AA46" s="160" t="str">
        <f xml:space="preserve"> IF( OR(J46&lt;&gt;0,K46&lt;&gt;0,L46&lt;&gt;0), CONCATENATE( newline &amp; AB46 &amp; AC46 &amp; AD46 &amp; AE46 &amp; AF46 &amp; AG46 &amp; AH46 &amp; AI46 &amp; AJ46 &amp; AK46 &amp; "  " &amp; AM46 ), "" )</f>
        <v xml:space="preserve">
Console, Control Gen C+S=11               3           6        0,39        Brain: INT=4, EDU=2</v>
      </c>
      <c r="AB46" s="161" t="str">
        <f xml:space="preserve"> CONCATENATE( LEFT(A46,16) &amp; IF(B46&lt;&gt;"Std",CONCATENATE(" "&amp;B46),"") &amp; " C+S=" &amp; D46 )</f>
        <v>Console, Control Gen C+S=11</v>
      </c>
      <c r="AC46" s="160" t="str">
        <f t="shared" si="1"/>
        <v xml:space="preserve">    </v>
      </c>
      <c r="AD46" s="160" t="str">
        <f t="shared" si="2"/>
        <v xml:space="preserve">           </v>
      </c>
      <c r="AE46" s="162" t="str">
        <f t="shared" si="63"/>
        <v>3</v>
      </c>
      <c r="AF46" s="160" t="str">
        <f t="shared" si="3"/>
        <v xml:space="preserve">           </v>
      </c>
      <c r="AG46" s="161" t="str">
        <f t="shared" si="64"/>
        <v>6</v>
      </c>
      <c r="AH46" s="160" t="str">
        <f t="shared" si="53"/>
        <v xml:space="preserve">        </v>
      </c>
      <c r="AI46" s="163" t="str">
        <f t="shared" si="65"/>
        <v>0,39</v>
      </c>
      <c r="AJ46" s="160" t="str">
        <f t="shared" si="5"/>
        <v xml:space="preserve">      </v>
      </c>
      <c r="AK46" s="163" t="str">
        <f t="shared" si="14"/>
        <v/>
      </c>
      <c r="AL46" s="163"/>
      <c r="AM46" s="153" t="str">
        <f xml:space="preserve"> IF( Q46&lt;&gt;Tables!$A$357, CONCATENATE( "Brain: INT=" &amp; BI46 &amp; ", EDU=" &amp; IF( R46=Tables!$L$358, BJ46, 2 ) ), "" )</f>
        <v>Brain: INT=4, EDU=2</v>
      </c>
      <c r="AN46" s="153"/>
      <c r="AO46" s="153"/>
      <c r="AP46" s="153"/>
      <c r="AR46" s="103">
        <v>9</v>
      </c>
      <c r="AS46" s="98">
        <f xml:space="preserve"> MIN( H46, $S46 - AR46)</f>
        <v>0.5</v>
      </c>
      <c r="AT46" t="s">
        <v>378</v>
      </c>
      <c r="AU46" s="8" t="str">
        <f>VLOOKUP( $AS46, Tables!$A$184:$H$193,  2 )</f>
        <v>Generic</v>
      </c>
      <c r="AV46" s="8" t="str">
        <f>VLOOKUP( $AS46, Tables!$A$184:$H$193,  3 )</f>
        <v>Gen</v>
      </c>
      <c r="AW46" s="90">
        <f>VLOOKUP( $AS46, Tables!$A$184:$H$193, 4 )</f>
        <v>1</v>
      </c>
      <c r="AX46" s="8">
        <f>VLOOKUP( $AS46, Tables!$A$184:$H$193,  5 )</f>
        <v>1</v>
      </c>
      <c r="AY46" s="8">
        <f>VLOOKUP( $AS46, Tables!$A$184:$H$193, 6 )</f>
        <v>0.5</v>
      </c>
      <c r="AZ46" s="8">
        <f>VLOOKUP( $AS46, Tables!$A$184:$H$193, 7 )</f>
        <v>0.9</v>
      </c>
      <c r="BA46" s="8">
        <f>VLOOKUP( $AS46, Tables!$A$184:$H$193, 8 )</f>
        <v>1.1000000000000001</v>
      </c>
      <c r="BB46" s="60">
        <f>VLOOKUP( $AS46, Tables!$A$184:$Q$193, 9 )</f>
        <v>0</v>
      </c>
      <c r="BF46" t="s">
        <v>1133</v>
      </c>
      <c r="BG46">
        <f xml:space="preserve"> VLOOKUP( $Q46, Tables!$A$357:$H$362, 3+1*(S46&gt;=12), 0 )</f>
        <v>30</v>
      </c>
      <c r="BH46" s="1">
        <f xml:space="preserve"> VLOOKUP( $Q46, Tables!$A$357:$H$362, 8, 0 )</f>
        <v>40</v>
      </c>
      <c r="BI46" s="1">
        <f xml:space="preserve"> VLOOKUP( $Q46, Tables!$A$357:$H$362, 2, 0 )</f>
        <v>4</v>
      </c>
      <c r="BJ46" s="1">
        <f xml:space="preserve"> VLOOKUP( $Q46, Tables!$A$357:$H$362, 7, 0 )</f>
        <v>4</v>
      </c>
      <c r="BK46" s="1">
        <f xml:space="preserve"> VLOOKUP( $Q46, Tables!$A$357:$H$362, 5, 0 )</f>
        <v>2</v>
      </c>
      <c r="BL46" s="1">
        <f xml:space="preserve"> VLOOKUP( $Q46, Tables!$A$357:$H$362, 6, 0 )</f>
        <v>1</v>
      </c>
      <c r="BN46">
        <f>BI46 + BK46</f>
        <v>6</v>
      </c>
      <c r="BP46">
        <f xml:space="preserve"> ( $BG46 + $BH46*($R46=Tables!$L$358) ) / 1000</f>
        <v>0.03</v>
      </c>
      <c r="BS46" t="s">
        <v>891</v>
      </c>
      <c r="BX46" s="106">
        <f xml:space="preserve"> J46</f>
        <v>3</v>
      </c>
      <c r="BY46" s="77"/>
      <c r="BZ46" s="77">
        <f xml:space="preserve"> SUM(  INDEX( BX$1:BX$50, ROW(BX46)-1 ), INDEX( BZ$1:BZ$50, ROW(BZ46)-1 )  )</f>
        <v>0</v>
      </c>
      <c r="CA46" s="77">
        <f xml:space="preserve"> SUM(  INDEX( BY$1:BY$50, ROW(BY46)-1 ), INDEX( CA$1:CA$50, ROW(CA46)-1 )  )</f>
        <v>0</v>
      </c>
      <c r="CB46" s="106">
        <f xml:space="preserve"> MAX( 0, $CB$45-BZ46 )</f>
        <v>3</v>
      </c>
      <c r="CE46" s="194">
        <f>K46</f>
        <v>6</v>
      </c>
      <c r="DL46">
        <f ca="1" xml:space="preserve"> IF( $AV46=Tables!$C$189, 5, RANDBETWEEN(1,6)+RANDBETWEEN(1,6)-2 )</f>
        <v>5</v>
      </c>
      <c r="DM46">
        <f ca="1" xml:space="preserve"> IF( $AV46=Tables!$C$189, 0, RANDBETWEEN(1,6)-RANDBETWEEN(1,6)+ VLOOKUP( $AS46, Tables!$A$184:$Q$193,  14 ) )</f>
        <v>0</v>
      </c>
      <c r="DN46">
        <f ca="1" xml:space="preserve"> IF( $AV46=Tables!$C$189, 0, RANDBETWEEN(1,6)-RANDBETWEEN(1,6)+ VLOOKUP( $AS46, Tables!$A$184:$Q$193,  15 ) )</f>
        <v>0</v>
      </c>
      <c r="DO46">
        <f ca="1" xml:space="preserve"> IF( $AV46=Tables!$C$189, 0, RANDBETWEEN(1,6)-RANDBETWEEN(1,6)+ VLOOKUP( $AS46, Tables!$A$184:$Q$193,  16 ) )</f>
        <v>0</v>
      </c>
      <c r="DP46">
        <f ca="1" xml:space="preserve"> IF( $AV46=Tables!$C$189, 0, RANDBETWEEN(1,6)-RANDBETWEEN(1,6)+ VLOOKUP( $AS46, Tables!$A$184:$Q$193,  17 ) )</f>
        <v>0</v>
      </c>
      <c r="DQ46" s="44" t="str">
        <f ca="1" xml:space="preserve"> VLOOKUP( $DL46,Tables!$B$2:$C$36,2)</f>
        <v>5</v>
      </c>
      <c r="DR46" t="str">
        <f t="shared" ref="DR46:DR48" ca="1" si="208" xml:space="preserve"> IF( DM46&lt;0, CONCATENATE( DM46 ), CONCATENATE( " ", DM46 ) )</f>
        <v xml:space="preserve"> 0</v>
      </c>
      <c r="DS46" t="str">
        <f t="shared" ref="DS46:DS48" ca="1" si="209" xml:space="preserve"> IF( DN46&lt;0, CONCATENATE( DN46 ), CONCATENATE( " ", DN46 ) )</f>
        <v xml:space="preserve"> 0</v>
      </c>
      <c r="DT46" t="str">
        <f t="shared" ref="DT46:DT48" ca="1" si="210" xml:space="preserve"> IF( DO46&lt;0, CONCATENATE( DO46 ), CONCATENATE( " ", DO46 ) )</f>
        <v xml:space="preserve"> 0</v>
      </c>
      <c r="DU46" t="str">
        <f t="shared" ref="DU46:DU48" ca="1" si="211" xml:space="preserve"> IF( DP46&lt;0, CONCATENATE( DP46 ), CONCATENATE( " ", DP46 ) )</f>
        <v xml:space="preserve"> 0</v>
      </c>
      <c r="DW46" s="194">
        <f xml:space="preserve"> SUM( DX$4:DX46, -DX46 )</f>
        <v>0</v>
      </c>
      <c r="DX46" s="194">
        <v>0</v>
      </c>
      <c r="DY46" s="194">
        <f xml:space="preserve"> SUM( DZ$4:DZ46, -DZ46 )</f>
        <v>0</v>
      </c>
      <c r="DZ46" s="194">
        <f t="shared" ref="DZ46:DZ50" si="212">K46</f>
        <v>6</v>
      </c>
      <c r="EA46" s="194">
        <f xml:space="preserve"> SUM( EB$4:EB46, -EB46 )</f>
        <v>0</v>
      </c>
      <c r="EB46" s="194">
        <v>0</v>
      </c>
      <c r="EC46" s="194">
        <f xml:space="preserve"> SUM( ED$4:ED46, -ED46 )</f>
        <v>0</v>
      </c>
      <c r="ED46" s="194">
        <v>0</v>
      </c>
      <c r="EE46" s="194">
        <f xml:space="preserve"> SUM( EF$4:EF46, -EF46 )</f>
        <v>0</v>
      </c>
      <c r="EF46" s="194">
        <v>0</v>
      </c>
      <c r="EG46" s="194">
        <f xml:space="preserve"> SUM( EH$4:EH46, -EH46 )</f>
        <v>0</v>
      </c>
      <c r="EH46" s="194">
        <v>0</v>
      </c>
      <c r="EI46" s="194">
        <f xml:space="preserve"> SUM( EJ$4:EJ46, -EJ46 )</f>
        <v>0</v>
      </c>
      <c r="EJ46" s="194">
        <v>0</v>
      </c>
      <c r="EK46" s="194">
        <f xml:space="preserve"> SUM( EL$4:EL46, -EL46 )</f>
        <v>0</v>
      </c>
      <c r="EL46" s="194">
        <v>0</v>
      </c>
      <c r="EM46" s="194">
        <f xml:space="preserve"> SUM( EN$4:EN46, -EN46 )</f>
        <v>0</v>
      </c>
      <c r="EN46" s="194">
        <v>0</v>
      </c>
      <c r="EO46" s="194">
        <f xml:space="preserve"> SUM( EP$4:EP46, -EP46 )</f>
        <v>0</v>
      </c>
      <c r="EP46" s="194">
        <v>0</v>
      </c>
      <c r="EQ46" s="194">
        <f xml:space="preserve"> SUM( ER$4:ER46, -ER46 )</f>
        <v>24</v>
      </c>
      <c r="ER46" s="194">
        <v>0</v>
      </c>
      <c r="ES46" s="194">
        <f xml:space="preserve"> SUM( ET$4:ET46, -ET46 )</f>
        <v>0</v>
      </c>
      <c r="ET46" s="194">
        <v>0</v>
      </c>
      <c r="EU46" s="194">
        <f xml:space="preserve"> SUM( EV$4:EV46, -EV46 )</f>
        <v>10</v>
      </c>
      <c r="EV46" s="194">
        <v>0</v>
      </c>
      <c r="EW46" s="194">
        <f xml:space="preserve"> SUM( EX$4:EX46, -EX46 )</f>
        <v>6</v>
      </c>
      <c r="EX46" s="194">
        <v>0</v>
      </c>
      <c r="EZ46" t="s">
        <v>280</v>
      </c>
      <c r="FB46" s="237">
        <f xml:space="preserve"> SUM( FC$4:FC46, -FC46 )</f>
        <v>1</v>
      </c>
      <c r="FC46" s="237">
        <v>0</v>
      </c>
      <c r="FD46" s="237">
        <f xml:space="preserve"> SUM( FE$4:FE46, -FE46 )</f>
        <v>1</v>
      </c>
      <c r="FE46" s="237">
        <v>0</v>
      </c>
      <c r="FF46" t="str">
        <f t="shared" si="16"/>
        <v>Consoles</v>
      </c>
    </row>
    <row r="47" spans="1:162">
      <c r="A47" t="s">
        <v>1085</v>
      </c>
      <c r="B47" s="8" t="str">
        <f>AV47</f>
        <v>Gen</v>
      </c>
      <c r="C47" s="63" t="str">
        <f>C46</f>
        <v>Spacious</v>
      </c>
      <c r="D47" s="99">
        <f xml:space="preserve"> MAX( S47 - AW47 + BB47, BN47 ) * (J47&gt;0)</f>
        <v>11</v>
      </c>
      <c r="E47" s="66"/>
      <c r="F47" s="66"/>
      <c r="G47" s="211">
        <v>-1</v>
      </c>
      <c r="H47" s="57">
        <f xml:space="preserve"> (J47&gt;0) * ( 0.5*(Military&gt;=0) + 1.5*(Military&gt;0) + 7*(Military&gt;1) )</f>
        <v>0.5</v>
      </c>
      <c r="I47" s="4"/>
      <c r="J47" s="191">
        <f xml:space="preserve"> MAX(  0,  IF( G47&lt;0, CB47, G47 )  )</f>
        <v>3</v>
      </c>
      <c r="K47" s="194">
        <f xml:space="preserve"> J47 * VLOOKUP( C47, Tables!$A$336:$B$339, 2, 0 )</f>
        <v>6</v>
      </c>
      <c r="L47" s="194">
        <f xml:space="preserve"> J47 * ( 0.1 * AY47 + BP47 ) * ( 1 + 0.1*($S47=TL+1) )</f>
        <v>0.24</v>
      </c>
      <c r="M47" s="48"/>
      <c r="N47" s="48"/>
      <c r="O47" s="48"/>
      <c r="Q47" s="16" t="s">
        <v>216</v>
      </c>
      <c r="R47" s="16" t="s">
        <v>171</v>
      </c>
      <c r="S47" s="223">
        <f t="shared" si="207"/>
        <v>12</v>
      </c>
      <c r="T47" t="str">
        <f ca="1" xml:space="preserve"> IF( K47&gt;0, CONCATENATE( DQ47, DR47, DS47, DT47, DU47 ), "" )</f>
        <v>5 0 0 0 0</v>
      </c>
      <c r="Z47" s="160" t="str">
        <f t="shared" si="170"/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</v>
      </c>
      <c r="AA47" s="160" t="str">
        <f xml:space="preserve"> IF( OR(J47&lt;&gt;0,K47&lt;&gt;0,L47&lt;&gt;0), CONCATENATE( newline &amp; AB47 &amp; AC47 &amp; AD47 &amp; AE47 &amp; AF47 &amp; AG47 &amp; AH47 &amp; AI47 &amp; AJ47 &amp; AK47 &amp; "  " &amp; AM47 ), "" )</f>
        <v xml:space="preserve">
Console, Operati Gen C+S=11               3           6        0,24        Brain: INT=4, EDU=2</v>
      </c>
      <c r="AB47" s="161" t="str">
        <f xml:space="preserve"> CONCATENATE( LEFT(A47,16) &amp; IF(B47&lt;&gt;"Std",CONCATENATE(" "&amp;B47),"") &amp; " C+S=" &amp; D47 )</f>
        <v>Console, Operati Gen C+S=11</v>
      </c>
      <c r="AC47" s="160" t="str">
        <f t="shared" si="1"/>
        <v xml:space="preserve">    </v>
      </c>
      <c r="AD47" s="160" t="str">
        <f t="shared" si="2"/>
        <v xml:space="preserve">           </v>
      </c>
      <c r="AE47" s="162" t="str">
        <f t="shared" si="63"/>
        <v>3</v>
      </c>
      <c r="AF47" s="160" t="str">
        <f t="shared" si="3"/>
        <v xml:space="preserve">           </v>
      </c>
      <c r="AG47" s="161" t="str">
        <f t="shared" si="64"/>
        <v>6</v>
      </c>
      <c r="AH47" s="160" t="str">
        <f t="shared" si="53"/>
        <v xml:space="preserve">        </v>
      </c>
      <c r="AI47" s="163" t="str">
        <f t="shared" si="65"/>
        <v>0,24</v>
      </c>
      <c r="AJ47" s="160" t="str">
        <f t="shared" si="5"/>
        <v xml:space="preserve">      </v>
      </c>
      <c r="AK47" s="163" t="str">
        <f t="shared" si="14"/>
        <v/>
      </c>
      <c r="AL47" s="163"/>
      <c r="AM47" s="153" t="str">
        <f xml:space="preserve"> IF( Q47&lt;&gt;Tables!$A$357, CONCATENATE( "Brain: INT=" &amp; BI47 &amp; ", EDU=" &amp; IF( R47=Tables!$L$358, BJ47, 2 ) ), "" )</f>
        <v>Brain: INT=4, EDU=2</v>
      </c>
      <c r="AN47" s="153"/>
      <c r="AO47" s="153"/>
      <c r="AP47" s="153"/>
      <c r="AR47" s="103">
        <v>8</v>
      </c>
      <c r="AS47" s="98">
        <f xml:space="preserve"> MIN( H47, $S47 - AR47)</f>
        <v>0.5</v>
      </c>
      <c r="AT47" t="s">
        <v>378</v>
      </c>
      <c r="AU47" s="8" t="str">
        <f>VLOOKUP( $AS47, Tables!$A$184:$H$193,  2 )</f>
        <v>Generic</v>
      </c>
      <c r="AV47" s="8" t="str">
        <f>VLOOKUP( $AS47, Tables!$A$184:$H$193,  3 )</f>
        <v>Gen</v>
      </c>
      <c r="AW47" s="90">
        <f>VLOOKUP( $AS47, Tables!$A$184:$H$193, 4 )</f>
        <v>1</v>
      </c>
      <c r="AX47" s="8">
        <f>VLOOKUP( $AS47, Tables!$A$184:$H$193,  5 )</f>
        <v>1</v>
      </c>
      <c r="AY47" s="8">
        <f>VLOOKUP( $AS47, Tables!$A$184:$H$193, 6 )</f>
        <v>0.5</v>
      </c>
      <c r="AZ47" s="8">
        <f>VLOOKUP( $AS47, Tables!$A$184:$H$193, 7 )</f>
        <v>0.9</v>
      </c>
      <c r="BA47" s="8">
        <f>VLOOKUP( $AS47, Tables!$A$184:$H$193, 8 )</f>
        <v>1.1000000000000001</v>
      </c>
      <c r="BB47" s="60">
        <f>VLOOKUP( $AS47, Tables!$A$184:$Q$193, 9 )</f>
        <v>0</v>
      </c>
      <c r="BF47" t="s">
        <v>1133</v>
      </c>
      <c r="BG47">
        <f xml:space="preserve"> VLOOKUP( $Q47, Tables!$A$357:$H$362, 3+1*(S47&gt;=12), 0 )</f>
        <v>30</v>
      </c>
      <c r="BH47" s="1">
        <f xml:space="preserve"> VLOOKUP( $Q47, Tables!$A$357:$H$362, 8, 0 )</f>
        <v>40</v>
      </c>
      <c r="BI47" s="1">
        <f xml:space="preserve"> VLOOKUP( $Q47, Tables!$A$357:$H$362, 2, 0 )</f>
        <v>4</v>
      </c>
      <c r="BJ47" s="1">
        <f xml:space="preserve"> VLOOKUP( $Q47, Tables!$A$357:$H$362, 7, 0 )</f>
        <v>4</v>
      </c>
      <c r="BK47" s="1">
        <f xml:space="preserve"> VLOOKUP( $Q47, Tables!$A$357:$H$362, 5, 0 )</f>
        <v>2</v>
      </c>
      <c r="BL47" s="1">
        <f xml:space="preserve"> VLOOKUP( $Q47, Tables!$A$357:$H$362, 6, 0 )</f>
        <v>1</v>
      </c>
      <c r="BN47">
        <f>BI47 + BK47</f>
        <v>6</v>
      </c>
      <c r="BP47">
        <f xml:space="preserve"> ( $BG47 + $BH47*($R47=Tables!$L$358) ) / 1000</f>
        <v>0.03</v>
      </c>
      <c r="BS47" s="1" t="s">
        <v>652</v>
      </c>
      <c r="BT47" s="1" t="s">
        <v>259</v>
      </c>
      <c r="BU47" s="1"/>
      <c r="BV47" s="1" t="s">
        <v>260</v>
      </c>
      <c r="BX47" s="106"/>
      <c r="BY47" s="191">
        <f>J47</f>
        <v>3</v>
      </c>
      <c r="BZ47" s="77">
        <f t="shared" ref="BZ47:BZ50" si="213" xml:space="preserve"> SUM(  INDEX( BX$1:BX$50, ROW(BX47)-1 ), INDEX( BZ$1:BZ$50, ROW(BZ47)-1 )  )</f>
        <v>3</v>
      </c>
      <c r="CA47" s="77">
        <f t="shared" ref="CA47:CA50" si="214" xml:space="preserve"> SUM(  INDEX( BY$1:BY$50, ROW(BY47)-1 ), INDEX( CA$1:CA$50, ROW(CA47)-1 )  )</f>
        <v>0</v>
      </c>
      <c r="CB47" s="106">
        <f xml:space="preserve"> MAX( 0, $CC$45 - BZ47 - CA47 )</f>
        <v>3</v>
      </c>
      <c r="CC47" s="106"/>
      <c r="CE47" s="194">
        <f>K47</f>
        <v>6</v>
      </c>
      <c r="DL47">
        <f ca="1" xml:space="preserve"> IF( $AV47=Tables!$C$189, 5, RANDBETWEEN(1,6)+RANDBETWEEN(1,6)-2 )</f>
        <v>5</v>
      </c>
      <c r="DM47">
        <f ca="1" xml:space="preserve"> IF( $AV47=Tables!$C$189, 0, RANDBETWEEN(1,6)-RANDBETWEEN(1,6)+ VLOOKUP( $AS47, Tables!$A$184:$Q$193,  14 ) )</f>
        <v>0</v>
      </c>
      <c r="DN47">
        <f ca="1" xml:space="preserve"> IF( $AV47=Tables!$C$189, 0, RANDBETWEEN(1,6)-RANDBETWEEN(1,6)+ VLOOKUP( $AS47, Tables!$A$184:$Q$193,  15 ) )</f>
        <v>0</v>
      </c>
      <c r="DO47">
        <f ca="1" xml:space="preserve"> IF( $AV47=Tables!$C$189, 0, RANDBETWEEN(1,6)-RANDBETWEEN(1,6)+ VLOOKUP( $AS47, Tables!$A$184:$Q$193,  16 ) )</f>
        <v>0</v>
      </c>
      <c r="DP47">
        <f ca="1" xml:space="preserve"> IF( $AV47=Tables!$C$189, 0, RANDBETWEEN(1,6)-RANDBETWEEN(1,6)+ VLOOKUP( $AS47, Tables!$A$184:$Q$193,  17 ) )</f>
        <v>0</v>
      </c>
      <c r="DQ47" s="44" t="str">
        <f ca="1" xml:space="preserve"> VLOOKUP( $DL47,Tables!$B$2:$C$36,2)</f>
        <v>5</v>
      </c>
      <c r="DR47" t="str">
        <f t="shared" ca="1" si="208"/>
        <v xml:space="preserve"> 0</v>
      </c>
      <c r="DS47" t="str">
        <f t="shared" ca="1" si="209"/>
        <v xml:space="preserve"> 0</v>
      </c>
      <c r="DT47" t="str">
        <f t="shared" ca="1" si="210"/>
        <v xml:space="preserve"> 0</v>
      </c>
      <c r="DU47" t="str">
        <f t="shared" ca="1" si="211"/>
        <v xml:space="preserve"> 0</v>
      </c>
      <c r="DW47" s="194">
        <f xml:space="preserve"> SUM( DX$4:DX47, -DX47 )</f>
        <v>0</v>
      </c>
      <c r="DX47" s="194">
        <v>0</v>
      </c>
      <c r="DY47" s="194">
        <f xml:space="preserve"> SUM( DZ$4:DZ47, -DZ47 )</f>
        <v>6</v>
      </c>
      <c r="DZ47" s="194">
        <f t="shared" si="212"/>
        <v>6</v>
      </c>
      <c r="EA47" s="194">
        <f xml:space="preserve"> SUM( EB$4:EB47, -EB47 )</f>
        <v>0</v>
      </c>
      <c r="EB47" s="194">
        <v>0</v>
      </c>
      <c r="EC47" s="194">
        <f xml:space="preserve"> SUM( ED$4:ED47, -ED47 )</f>
        <v>0</v>
      </c>
      <c r="ED47" s="194">
        <v>0</v>
      </c>
      <c r="EE47" s="194">
        <f xml:space="preserve"> SUM( EF$4:EF47, -EF47 )</f>
        <v>0</v>
      </c>
      <c r="EF47" s="194">
        <v>0</v>
      </c>
      <c r="EG47" s="194">
        <f xml:space="preserve"> SUM( EH$4:EH47, -EH47 )</f>
        <v>0</v>
      </c>
      <c r="EH47" s="194">
        <v>0</v>
      </c>
      <c r="EI47" s="194">
        <f xml:space="preserve"> SUM( EJ$4:EJ47, -EJ47 )</f>
        <v>0</v>
      </c>
      <c r="EJ47" s="194">
        <v>0</v>
      </c>
      <c r="EK47" s="194">
        <f xml:space="preserve"> SUM( EL$4:EL47, -EL47 )</f>
        <v>0</v>
      </c>
      <c r="EL47" s="194">
        <v>0</v>
      </c>
      <c r="EM47" s="194">
        <f xml:space="preserve"> SUM( EN$4:EN47, -EN47 )</f>
        <v>0</v>
      </c>
      <c r="EN47" s="194">
        <v>0</v>
      </c>
      <c r="EO47" s="194">
        <f xml:space="preserve"> SUM( EP$4:EP47, -EP47 )</f>
        <v>0</v>
      </c>
      <c r="EP47" s="194">
        <v>0</v>
      </c>
      <c r="EQ47" s="194">
        <f xml:space="preserve"> SUM( ER$4:ER47, -ER47 )</f>
        <v>24</v>
      </c>
      <c r="ER47" s="194">
        <v>0</v>
      </c>
      <c r="ES47" s="194">
        <f xml:space="preserve"> SUM( ET$4:ET47, -ET47 )</f>
        <v>0</v>
      </c>
      <c r="ET47" s="194">
        <v>0</v>
      </c>
      <c r="EU47" s="194">
        <f xml:space="preserve"> SUM( EV$4:EV47, -EV47 )</f>
        <v>10</v>
      </c>
      <c r="EV47" s="194">
        <v>0</v>
      </c>
      <c r="EW47" s="194">
        <f xml:space="preserve"> SUM( EX$4:EX47, -EX47 )</f>
        <v>6</v>
      </c>
      <c r="EX47" s="194">
        <v>0</v>
      </c>
      <c r="EZ47" t="s">
        <v>511</v>
      </c>
      <c r="FB47" s="237">
        <f xml:space="preserve"> SUM( FC$4:FC47, -FC47 )</f>
        <v>1</v>
      </c>
      <c r="FC47" s="237">
        <v>0</v>
      </c>
      <c r="FD47" s="237">
        <f xml:space="preserve"> SUM( FE$4:FE47, -FE47 )</f>
        <v>1</v>
      </c>
      <c r="FE47" s="237">
        <v>0</v>
      </c>
      <c r="FF47" t="str">
        <f t="shared" si="16"/>
        <v>Consoles</v>
      </c>
    </row>
    <row r="48" spans="1:162">
      <c r="A48" t="s">
        <v>276</v>
      </c>
      <c r="B48" s="8" t="str">
        <f>AV48</f>
        <v>Gen</v>
      </c>
      <c r="C48" s="66" t="str">
        <f>IF( L48&gt;0, CONCATENATE( "m/", AQ48, IF(E48&gt;0,"/bis",""), IF(F48&gt;0,IF(BM48&gt;2,"/phot","/fib"),"") ), "" )</f>
        <v>m/1/bis</v>
      </c>
      <c r="D48" s="99">
        <f>IF( (BJ48&gt;0)*(J48&gt;0), S48 - AW48 + BB48, 0 )</f>
        <v>11</v>
      </c>
      <c r="E48" s="100">
        <f>1*($AQ48&lt;JumpN)</f>
        <v>1</v>
      </c>
      <c r="F48" s="101">
        <v>0</v>
      </c>
      <c r="G48" s="108">
        <f xml:space="preserve"> MAX( 0, JumpN-1, 1*(JumpN&gt;0), (Hull/100)*(Military&gt;1) )</f>
        <v>1</v>
      </c>
      <c r="H48" s="57">
        <f xml:space="preserve"> (G48&gt;=0) * IF( $S48 - $BV48 = 1, 0.5, IF($S48 - $BV48 &gt; 1,0.5+1.5*(Military&gt;0)+2*(Military&gt;1),0) )</f>
        <v>0.5</v>
      </c>
      <c r="I48" s="65">
        <f xml:space="preserve"> $AQ48 + 1*($E48&gt;0)</f>
        <v>2</v>
      </c>
      <c r="J48" s="48">
        <f xml:space="preserve"> 1*(G48&gt;=0)</f>
        <v>1</v>
      </c>
      <c r="K48" s="51">
        <f xml:space="preserve"> J48*BG48*IF(F48&gt;0,BN48,1)</f>
        <v>1</v>
      </c>
      <c r="L48" s="51">
        <f xml:space="preserve"> J48 * IF(E48&gt;0,BI48,BH48) * IF(F48&gt;0,BO48,100%) * AY48 * ( 1 + 0.1*($S48=TL+1) )</f>
        <v>1.5</v>
      </c>
      <c r="M48" s="48"/>
      <c r="N48" s="48"/>
      <c r="O48" s="48"/>
      <c r="S48" s="223">
        <f t="shared" si="207"/>
        <v>12</v>
      </c>
      <c r="T48" t="str">
        <f ca="1" xml:space="preserve"> IF( K48&gt;0, CONCATENATE( DQ48, DR48, DS48, DT48, DU48 ), "" )</f>
        <v>5 0 0 0 0</v>
      </c>
      <c r="Z48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</v>
      </c>
      <c r="AA48" s="160" t="str">
        <f t="shared" si="126"/>
        <v xml:space="preserve">
Computer Gen m/1/bis                      1           1         1,5      </v>
      </c>
      <c r="AB48" s="161" t="str">
        <f xml:space="preserve"> CONCATENATE( A48 &amp; " " &amp; IF(B48&lt;&gt;"Std",CONCATENATE(B48&amp;" "),"") &amp; C48 )</f>
        <v>Computer Gen m/1/bis</v>
      </c>
      <c r="AC48" s="160" t="str">
        <f t="shared" si="1"/>
        <v xml:space="preserve">           </v>
      </c>
      <c r="AD48" s="160" t="str">
        <f t="shared" si="2"/>
        <v xml:space="preserve">           </v>
      </c>
      <c r="AE48" s="162" t="str">
        <f t="shared" si="63"/>
        <v>1</v>
      </c>
      <c r="AF48" s="160" t="str">
        <f t="shared" si="3"/>
        <v xml:space="preserve">           </v>
      </c>
      <c r="AG48" s="161" t="str">
        <f t="shared" si="64"/>
        <v>1</v>
      </c>
      <c r="AH48" s="160" t="str">
        <f t="shared" si="53"/>
        <v xml:space="preserve">         </v>
      </c>
      <c r="AI48" s="163" t="str">
        <f t="shared" si="65"/>
        <v>1,5</v>
      </c>
      <c r="AJ48" s="160" t="str">
        <f t="shared" si="5"/>
        <v xml:space="preserve">      </v>
      </c>
      <c r="AK48" s="163" t="str">
        <f t="shared" si="14"/>
        <v/>
      </c>
      <c r="AL48" s="163"/>
      <c r="AM48" s="153"/>
      <c r="AN48" s="153"/>
      <c r="AO48" s="153"/>
      <c r="AP48" s="153"/>
      <c r="AQ48" s="102">
        <f>MIN( G48, BD48 -1*(F48&gt;0) - (H48&lt;0)*MAX(-3,H48) )</f>
        <v>1</v>
      </c>
      <c r="AR48" s="103">
        <f xml:space="preserve"> AQ48 + 8 + (F48&gt;0)*BM48</f>
        <v>9</v>
      </c>
      <c r="AS48" s="98">
        <f xml:space="preserve"> MIN( H48, $S48 - AR48)</f>
        <v>0.5</v>
      </c>
      <c r="AT48" t="s">
        <v>378</v>
      </c>
      <c r="AU48" s="8" t="str">
        <f>VLOOKUP( $AS48, Tables!$A$184:$H$193,  2 )</f>
        <v>Generic</v>
      </c>
      <c r="AV48" s="8" t="str">
        <f>VLOOKUP( $AS48, Tables!$A$184:$H$193,  3 )</f>
        <v>Gen</v>
      </c>
      <c r="AW48" s="90">
        <f>VLOOKUP( $AS48, Tables!$A$184:$H$193, 4 )</f>
        <v>1</v>
      </c>
      <c r="AX48" s="8">
        <f>VLOOKUP( $AS48, Tables!$A$184:$H$193,  5 )</f>
        <v>1</v>
      </c>
      <c r="AY48" s="8">
        <f>VLOOKUP( $AS48, Tables!$A$184:$H$193, 6 )</f>
        <v>0.5</v>
      </c>
      <c r="AZ48" s="8">
        <f>VLOOKUP( $AS48, Tables!$A$184:$H$193, 7 )</f>
        <v>0.9</v>
      </c>
      <c r="BA48" s="8">
        <f>VLOOKUP( $AS48, Tables!$A$184:$H$193, 8 )</f>
        <v>1.1000000000000001</v>
      </c>
      <c r="BB48" s="60">
        <f>VLOOKUP( $AS48, Tables!$A$184:$Q$193, 9 )</f>
        <v>0</v>
      </c>
      <c r="BC48" t="s">
        <v>181</v>
      </c>
      <c r="BD48">
        <f xml:space="preserve"> VLOOKUP( $S48, Tables!$A$343:$F$353, 2 )</f>
        <v>4</v>
      </c>
      <c r="BF48" t="s">
        <v>425</v>
      </c>
      <c r="BG48">
        <f>VLOOKUP( $AQ48, Tables!$B$343:$F$353, 2 )</f>
        <v>1</v>
      </c>
      <c r="BH48">
        <f>VLOOKUP( $AQ48, Tables!$B$343:$F$353, 3 )</f>
        <v>1.5</v>
      </c>
      <c r="BI48">
        <f>VLOOKUP( $AQ48, Tables!$B$343:$F$353, 4 )</f>
        <v>3</v>
      </c>
      <c r="BJ48">
        <f>VLOOKUP( $AQ48, Tables!$B$343:$F$353, 5 ) + 1*(E48&gt;0)</f>
        <v>2</v>
      </c>
      <c r="BL48" t="s">
        <v>103</v>
      </c>
      <c r="BM48" s="98">
        <f xml:space="preserve"> IF( $AQ48+8+3&lt;=$S48, 3, 1 )</f>
        <v>3</v>
      </c>
      <c r="BN48" s="31">
        <f>IF(BM48 = 1, 200%, 100% )</f>
        <v>1</v>
      </c>
      <c r="BO48" s="31">
        <f xml:space="preserve"> IF(BM48 = 1, 150%, 50% )</f>
        <v>0.5</v>
      </c>
      <c r="BS48">
        <f xml:space="preserve"> 8 + MIN( $G48, $BD48  - 1*($F48&gt;0) )</f>
        <v>9</v>
      </c>
      <c r="BT48">
        <f xml:space="preserve"> ($F48&gt;0)*IF( $BS48+8+3&lt;=$S48, 3, 1 )</f>
        <v>0</v>
      </c>
      <c r="BU48" s="98"/>
      <c r="BV48" s="103">
        <f xml:space="preserve"> BS48+BT48</f>
        <v>9</v>
      </c>
      <c r="BY48" s="77"/>
      <c r="BZ48" s="77">
        <f t="shared" si="213"/>
        <v>3</v>
      </c>
      <c r="CA48" s="77">
        <f t="shared" si="214"/>
        <v>3</v>
      </c>
      <c r="DL48">
        <f ca="1" xml:space="preserve"> IF( $AV48=Tables!$C$189, 5, RANDBETWEEN(1,6)+RANDBETWEEN(1,6)-2 )</f>
        <v>5</v>
      </c>
      <c r="DM48">
        <f ca="1" xml:space="preserve"> IF( $AV48=Tables!$C$189, 0, RANDBETWEEN(1,6)-RANDBETWEEN(1,6)+ VLOOKUP( $AS48, Tables!$A$184:$Q$193,  14 ) )</f>
        <v>0</v>
      </c>
      <c r="DN48">
        <f ca="1" xml:space="preserve"> IF( $AV48=Tables!$C$189, 0, RANDBETWEEN(1,6)-RANDBETWEEN(1,6)+ VLOOKUP( $AS48, Tables!$A$184:$Q$193,  15 ) )</f>
        <v>0</v>
      </c>
      <c r="DO48">
        <f ca="1" xml:space="preserve"> IF( $AV48=Tables!$C$189, 0, RANDBETWEEN(1,6)-RANDBETWEEN(1,6)+ VLOOKUP( $AS48, Tables!$A$184:$Q$193,  16 ) )</f>
        <v>0</v>
      </c>
      <c r="DP48">
        <f ca="1" xml:space="preserve"> IF( $AV48=Tables!$C$189, 0, RANDBETWEEN(1,6)-RANDBETWEEN(1,6)+ VLOOKUP( $AS48, Tables!$A$184:$Q$193,  17 ) )</f>
        <v>0</v>
      </c>
      <c r="DQ48" s="44" t="str">
        <f ca="1" xml:space="preserve"> VLOOKUP( $DL48,Tables!$B$2:$C$36,2)</f>
        <v>5</v>
      </c>
      <c r="DR48" t="str">
        <f t="shared" ca="1" si="208"/>
        <v xml:space="preserve"> 0</v>
      </c>
      <c r="DS48" t="str">
        <f t="shared" ca="1" si="209"/>
        <v xml:space="preserve"> 0</v>
      </c>
      <c r="DT48" t="str">
        <f t="shared" ca="1" si="210"/>
        <v xml:space="preserve"> 0</v>
      </c>
      <c r="DU48" t="str">
        <f t="shared" ca="1" si="211"/>
        <v xml:space="preserve"> 0</v>
      </c>
      <c r="DW48" s="194">
        <f xml:space="preserve"> SUM( DX$4:DX48, -DX48 )</f>
        <v>0</v>
      </c>
      <c r="DX48" s="194">
        <v>0</v>
      </c>
      <c r="DY48" s="194">
        <f xml:space="preserve"> SUM( DZ$4:DZ48, -DZ48 )</f>
        <v>12</v>
      </c>
      <c r="DZ48" s="194">
        <f t="shared" si="212"/>
        <v>1</v>
      </c>
      <c r="EA48" s="194">
        <f xml:space="preserve"> SUM( EB$4:EB48, -EB48 )</f>
        <v>0</v>
      </c>
      <c r="EB48" s="194">
        <v>0</v>
      </c>
      <c r="EC48" s="194">
        <f xml:space="preserve"> SUM( ED$4:ED48, -ED48 )</f>
        <v>0</v>
      </c>
      <c r="ED48" s="194">
        <v>0</v>
      </c>
      <c r="EE48" s="194">
        <f xml:space="preserve"> SUM( EF$4:EF48, -EF48 )</f>
        <v>0</v>
      </c>
      <c r="EF48" s="194">
        <v>0</v>
      </c>
      <c r="EG48" s="194">
        <f xml:space="preserve"> SUM( EH$4:EH48, -EH48 )</f>
        <v>0</v>
      </c>
      <c r="EH48" s="194">
        <v>0</v>
      </c>
      <c r="EI48" s="194">
        <f xml:space="preserve"> SUM( EJ$4:EJ48, -EJ48 )</f>
        <v>0</v>
      </c>
      <c r="EJ48" s="194">
        <v>0</v>
      </c>
      <c r="EK48" s="194">
        <f xml:space="preserve"> SUM( EL$4:EL48, -EL48 )</f>
        <v>0</v>
      </c>
      <c r="EL48" s="194">
        <v>0</v>
      </c>
      <c r="EM48" s="194">
        <f xml:space="preserve"> SUM( EN$4:EN48, -EN48 )</f>
        <v>0</v>
      </c>
      <c r="EN48" s="194">
        <v>0</v>
      </c>
      <c r="EO48" s="194">
        <f xml:space="preserve"> SUM( EP$4:EP48, -EP48 )</f>
        <v>0</v>
      </c>
      <c r="EP48" s="194">
        <v>0</v>
      </c>
      <c r="EQ48" s="194">
        <f xml:space="preserve"> SUM( ER$4:ER48, -ER48 )</f>
        <v>24</v>
      </c>
      <c r="ER48" s="194">
        <v>0</v>
      </c>
      <c r="ES48" s="194">
        <f xml:space="preserve"> SUM( ET$4:ET48, -ET48 )</f>
        <v>0</v>
      </c>
      <c r="ET48" s="194">
        <v>0</v>
      </c>
      <c r="EU48" s="194">
        <f xml:space="preserve"> SUM( EV$4:EV48, -EV48 )</f>
        <v>10</v>
      </c>
      <c r="EV48" s="194">
        <v>0</v>
      </c>
      <c r="EW48" s="194">
        <f xml:space="preserve"> SUM( EX$4:EX48, -EX48 )</f>
        <v>6</v>
      </c>
      <c r="EX48" s="194">
        <v>0</v>
      </c>
      <c r="EZ48" t="s">
        <v>561</v>
      </c>
      <c r="FB48" s="237">
        <f xml:space="preserve"> SUM( FC$4:FC48, -FC48 )</f>
        <v>1</v>
      </c>
      <c r="FC48" s="237">
        <v>0</v>
      </c>
      <c r="FD48" s="237">
        <f xml:space="preserve"> SUM( FE$4:FE48, -FE48 )</f>
        <v>1</v>
      </c>
      <c r="FE48" s="237">
        <v>0</v>
      </c>
      <c r="FF48" t="str">
        <f t="shared" si="16"/>
        <v>Computer</v>
      </c>
    </row>
    <row r="49" spans="1:162">
      <c r="A49" t="s">
        <v>276</v>
      </c>
      <c r="B49" s="149" t="str">
        <f>AV49</f>
        <v>Std</v>
      </c>
      <c r="C49" s="241" t="str">
        <f>IF( L49&gt;0, CONCATENATE( "m/", AQ49, IF(E49&gt;0,"/bis",""), IF(F49&gt;0,IF(BM49&gt;2,"/phot","/fib"),"") ), "" )</f>
        <v/>
      </c>
      <c r="D49" s="99">
        <f>IF( (BJ49&gt;0)*(J49&gt;0), S49 - AW49 + BB49, 0 )</f>
        <v>0</v>
      </c>
      <c r="E49" s="100">
        <f xml:space="preserve"> 1 * (G49&gt;=0)</f>
        <v>0</v>
      </c>
      <c r="F49" s="101">
        <v>0</v>
      </c>
      <c r="G49" s="108">
        <v>-1</v>
      </c>
      <c r="H49" s="221">
        <f xml:space="preserve"> (G49&gt;=0) * IF( $S49 - $BV49 = 1, 0.5, IF($S49 - $BV49 &gt; 1,0.5+1.5*(Military&gt;0)+2*(Military&gt;1),0) )</f>
        <v>0</v>
      </c>
      <c r="I49" s="65">
        <f xml:space="preserve"> $AQ49 + 1*($E49&gt;0)</f>
        <v>-1</v>
      </c>
      <c r="J49" s="191">
        <f xml:space="preserve"> 1*(G49&gt;=0)</f>
        <v>0</v>
      </c>
      <c r="K49" s="194">
        <f xml:space="preserve"> J49*BG49*IF(F49&gt;0,BN49,1)</f>
        <v>0</v>
      </c>
      <c r="L49" s="194">
        <f xml:space="preserve"> J49 * IF(E49&gt;0,BI49,BH49) * IF(F49&gt;0,BO49,100%) * AY49 * ( 1 + 0.1*($S49=TL+1) )</f>
        <v>0</v>
      </c>
      <c r="M49" s="191"/>
      <c r="N49" s="191"/>
      <c r="O49" s="191"/>
      <c r="S49" s="223">
        <f t="shared" si="207"/>
        <v>12</v>
      </c>
      <c r="T49" t="str">
        <f xml:space="preserve"> IF( K49&gt;0, CONCATENATE( DQ49, DR49, DS49, DT49, DU49 ), "" )</f>
        <v/>
      </c>
      <c r="Z49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</v>
      </c>
      <c r="AA49" s="160" t="str">
        <f t="shared" ref="AA49" si="215" xml:space="preserve"> IF( OR(J49&lt;&gt;0,K49&lt;&gt;0,L49&lt;&gt;0), CONCATENATE( newline &amp; AB49 &amp; AC49 &amp; AD49 &amp; AE49 &amp; AF49 &amp; AG49 &amp; AH49 &amp; AI49 &amp; AJ49 &amp; AK49 ), "" )</f>
        <v/>
      </c>
      <c r="AB49" s="161" t="str">
        <f xml:space="preserve"> CONCATENATE( A49 &amp; " " &amp; IF(B49&lt;&gt;"Std",CONCATENATE(B49&amp;" "),"") &amp; C49 )</f>
        <v xml:space="preserve">Computer </v>
      </c>
      <c r="AC49" s="160" t="str">
        <f t="shared" ref="AC49" si="216" xml:space="preserve"> CONCATENATE( REPT(" ",MAX(0,31-LEN(AB49))) )</f>
        <v xml:space="preserve">                      </v>
      </c>
      <c r="AD49" s="160" t="str">
        <f t="shared" ref="AD49" si="217" xml:space="preserve"> CONCATENATE( REPT(" ",MAX(0,12-LEN(AE49))) )</f>
        <v xml:space="preserve">           </v>
      </c>
      <c r="AE49" s="162" t="str">
        <f t="shared" ref="AE49" si="218" xml:space="preserve"> CONCATENATE( J49 )</f>
        <v>0</v>
      </c>
      <c r="AF49" s="160" t="str">
        <f t="shared" ref="AF49" si="219" xml:space="preserve"> CONCATENATE( REPT(" ",MAX(0,12-LEN(AG49))) )</f>
        <v xml:space="preserve">           </v>
      </c>
      <c r="AG49" s="161" t="str">
        <f t="shared" ref="AG49" si="220" xml:space="preserve"> CONCATENATE( K49 )</f>
        <v>0</v>
      </c>
      <c r="AH49" s="160" t="str">
        <f t="shared" ref="AH49" si="221" xml:space="preserve"> CONCATENATE( REPT(" ",MAX(0,12-LEN(AI49))) )</f>
        <v xml:space="preserve">           </v>
      </c>
      <c r="AI49" s="163" t="str">
        <f t="shared" ref="AI49" si="222" xml:space="preserve"> CONCATENATE( L49 )</f>
        <v>0</v>
      </c>
      <c r="AJ49" s="160" t="str">
        <f t="shared" ref="AJ49" si="223" xml:space="preserve"> CONCATENATE( REPT(" ",MAX(0,6-LEN(AK49))) )</f>
        <v xml:space="preserve">      </v>
      </c>
      <c r="AK49" s="163" t="str">
        <f t="shared" ref="AK49" si="224" xml:space="preserve"> IF( AND(S49&gt;0,S49&lt;&gt;TL), CONCATENATE( "TL" &amp; S49  ), "" )</f>
        <v/>
      </c>
      <c r="AL49" s="163"/>
      <c r="AM49" s="153"/>
      <c r="AN49" s="153"/>
      <c r="AO49" s="153"/>
      <c r="AP49" s="153"/>
      <c r="AQ49" s="102">
        <f>MIN( G49, BD49 -1*(F49&gt;0) - (H49&lt;0)*MAX(-3,H49) )</f>
        <v>-1</v>
      </c>
      <c r="AR49" s="103">
        <f xml:space="preserve"> AQ49 + 8 + (F49&gt;0)*BM49</f>
        <v>7</v>
      </c>
      <c r="AS49" s="98">
        <f xml:space="preserve"> MIN( H49, $S49 - AR49)</f>
        <v>0</v>
      </c>
      <c r="AT49" t="s">
        <v>378</v>
      </c>
      <c r="AU49" s="149" t="str">
        <f>VLOOKUP( $AS49, Tables!$A$184:$H$193,  2 )</f>
        <v>Standard</v>
      </c>
      <c r="AV49" s="149" t="str">
        <f>VLOOKUP( $AS49, Tables!$A$184:$H$193,  3 )</f>
        <v>Std</v>
      </c>
      <c r="AW49" s="90">
        <f>VLOOKUP( $AS49, Tables!$A$184:$H$193, 4 )</f>
        <v>0</v>
      </c>
      <c r="AX49" s="149">
        <f>VLOOKUP( $AS49, Tables!$A$184:$H$193,  5 )</f>
        <v>1</v>
      </c>
      <c r="AY49" s="149">
        <f>VLOOKUP( $AS49, Tables!$A$184:$H$193, 6 )</f>
        <v>1</v>
      </c>
      <c r="AZ49" s="149">
        <f>VLOOKUP( $AS49, Tables!$A$184:$H$193, 7 )</f>
        <v>1</v>
      </c>
      <c r="BA49" s="149">
        <f>VLOOKUP( $AS49, Tables!$A$184:$H$193, 8 )</f>
        <v>1</v>
      </c>
      <c r="BB49" s="60">
        <f>VLOOKUP( $AS49, Tables!$A$184:$Q$193, 9 )</f>
        <v>0</v>
      </c>
      <c r="BC49" t="s">
        <v>181</v>
      </c>
      <c r="BD49">
        <f xml:space="preserve"> VLOOKUP( $S49, Tables!$A$343:$F$353, 2 )</f>
        <v>4</v>
      </c>
      <c r="BF49" t="s">
        <v>425</v>
      </c>
      <c r="BG49">
        <f>VLOOKUP( $AQ49, Tables!$B$343:$F$353, 2 )</f>
        <v>0</v>
      </c>
      <c r="BH49">
        <f>VLOOKUP( $AQ49, Tables!$B$343:$F$353, 3 )</f>
        <v>0</v>
      </c>
      <c r="BI49">
        <f>VLOOKUP( $AQ49, Tables!$B$343:$F$353, 4 )</f>
        <v>0</v>
      </c>
      <c r="BJ49">
        <f>VLOOKUP( $AQ49, Tables!$B$343:$F$353, 5 ) + 1*(E49&gt;0)</f>
        <v>0</v>
      </c>
      <c r="BL49" t="s">
        <v>103</v>
      </c>
      <c r="BM49" s="98">
        <f xml:space="preserve"> IF( $AQ49+8+3&lt;=$S49, 3, 1 )</f>
        <v>3</v>
      </c>
      <c r="BN49" s="85">
        <f>IF(BM49 = 1, 200%, 100% )</f>
        <v>1</v>
      </c>
      <c r="BO49" s="85">
        <f xml:space="preserve"> IF(BM49 = 1, 150%, 50% )</f>
        <v>0.5</v>
      </c>
      <c r="BS49">
        <f xml:space="preserve"> 8 + MIN( $G49, $BD49  - 1*($F49&gt;0) )</f>
        <v>7</v>
      </c>
      <c r="BT49">
        <f xml:space="preserve"> ($F49&gt;0)*IF( $BS49+8+3&lt;=$S49, 3, 1 )</f>
        <v>0</v>
      </c>
      <c r="BU49" s="98"/>
      <c r="BV49" s="103">
        <f xml:space="preserve"> BS49+BT49</f>
        <v>7</v>
      </c>
      <c r="BZ49" s="77">
        <f t="shared" si="213"/>
        <v>3</v>
      </c>
      <c r="CA49" s="77">
        <f t="shared" si="214"/>
        <v>3</v>
      </c>
      <c r="DL49">
        <f ca="1" xml:space="preserve"> IF( $AV49=Tables!$C$189, 5, RANDBETWEEN(1,6)+RANDBETWEEN(1,6)-2 )</f>
        <v>3</v>
      </c>
      <c r="DM49">
        <f ca="1" xml:space="preserve"> IF( $AV49=Tables!$C$189, 0, RANDBETWEEN(1,6)-RANDBETWEEN(1,6)+ VLOOKUP( $AS49, Tables!$A$184:$Q$193,  14 ) )</f>
        <v>-1</v>
      </c>
      <c r="DN49">
        <f ca="1" xml:space="preserve"> IF( $AV49=Tables!$C$189, 0, RANDBETWEEN(1,6)-RANDBETWEEN(1,6)+ VLOOKUP( $AS49, Tables!$A$184:$Q$193,  15 ) )</f>
        <v>-4</v>
      </c>
      <c r="DO49">
        <f ca="1" xml:space="preserve"> IF( $AV49=Tables!$C$189, 0, RANDBETWEEN(1,6)-RANDBETWEEN(1,6)+ VLOOKUP( $AS49, Tables!$A$184:$Q$193,  16 ) )</f>
        <v>-2</v>
      </c>
      <c r="DP49">
        <f ca="1" xml:space="preserve"> IF( $AV49=Tables!$C$189, 0, RANDBETWEEN(1,6)-RANDBETWEEN(1,6)+ VLOOKUP( $AS49, Tables!$A$184:$Q$193,  17 ) )</f>
        <v>-2</v>
      </c>
      <c r="DQ49" s="44" t="str">
        <f ca="1" xml:space="preserve"> VLOOKUP( $DL49,Tables!$B$2:$C$36,2)</f>
        <v>3</v>
      </c>
      <c r="DR49" t="str">
        <f t="shared" ref="DR49" ca="1" si="225" xml:space="preserve"> IF( DM49&lt;0, CONCATENATE( DM49 ), CONCATENATE( " ", DM49 ) )</f>
        <v>-1</v>
      </c>
      <c r="DS49" t="str">
        <f t="shared" ref="DS49" ca="1" si="226" xml:space="preserve"> IF( DN49&lt;0, CONCATENATE( DN49 ), CONCATENATE( " ", DN49 ) )</f>
        <v>-4</v>
      </c>
      <c r="DT49" t="str">
        <f t="shared" ref="DT49" ca="1" si="227" xml:space="preserve"> IF( DO49&lt;0, CONCATENATE( DO49 ), CONCATENATE( " ", DO49 ) )</f>
        <v>-2</v>
      </c>
      <c r="DU49" t="str">
        <f t="shared" ref="DU49" ca="1" si="228" xml:space="preserve"> IF( DP49&lt;0, CONCATENATE( DP49 ), CONCATENATE( " ", DP49 ) )</f>
        <v>-2</v>
      </c>
      <c r="DW49" s="194">
        <f xml:space="preserve"> SUM( DX$4:DX49, -DX49 )</f>
        <v>0</v>
      </c>
      <c r="DX49" s="194">
        <v>0</v>
      </c>
      <c r="DY49" s="194">
        <f xml:space="preserve"> SUM( DZ$4:DZ49, -DZ49 )</f>
        <v>13</v>
      </c>
      <c r="DZ49" s="194">
        <f t="shared" ref="DZ49" si="229">K49</f>
        <v>0</v>
      </c>
      <c r="EA49" s="194">
        <f xml:space="preserve"> SUM( EB$4:EB49, -EB49 )</f>
        <v>0</v>
      </c>
      <c r="EB49" s="194">
        <v>0</v>
      </c>
      <c r="EC49" s="194">
        <f xml:space="preserve"> SUM( ED$4:ED49, -ED49 )</f>
        <v>0</v>
      </c>
      <c r="ED49" s="194">
        <v>0</v>
      </c>
      <c r="EE49" s="194">
        <f xml:space="preserve"> SUM( EF$4:EF49, -EF49 )</f>
        <v>0</v>
      </c>
      <c r="EF49" s="194">
        <v>0</v>
      </c>
      <c r="EG49" s="194">
        <f xml:space="preserve"> SUM( EH$4:EH49, -EH49 )</f>
        <v>0</v>
      </c>
      <c r="EH49" s="194">
        <v>0</v>
      </c>
      <c r="EI49" s="194">
        <f xml:space="preserve"> SUM( EJ$4:EJ49, -EJ49 )</f>
        <v>0</v>
      </c>
      <c r="EJ49" s="194">
        <v>0</v>
      </c>
      <c r="EK49" s="194">
        <f xml:space="preserve"> SUM( EL$4:EL49, -EL49 )</f>
        <v>0</v>
      </c>
      <c r="EL49" s="194">
        <v>0</v>
      </c>
      <c r="EM49" s="194">
        <f xml:space="preserve"> SUM( EN$4:EN49, -EN49 )</f>
        <v>0</v>
      </c>
      <c r="EN49" s="194">
        <v>0</v>
      </c>
      <c r="EO49" s="194">
        <f xml:space="preserve"> SUM( EP$4:EP49, -EP49 )</f>
        <v>0</v>
      </c>
      <c r="EP49" s="194">
        <v>0</v>
      </c>
      <c r="EQ49" s="194">
        <f xml:space="preserve"> SUM( ER$4:ER49, -ER49 )</f>
        <v>24</v>
      </c>
      <c r="ER49" s="194">
        <v>0</v>
      </c>
      <c r="ES49" s="194">
        <f xml:space="preserve"> SUM( ET$4:ET49, -ET49 )</f>
        <v>0</v>
      </c>
      <c r="ET49" s="194">
        <v>0</v>
      </c>
      <c r="EU49" s="194">
        <f xml:space="preserve"> SUM( EV$4:EV49, -EV49 )</f>
        <v>10</v>
      </c>
      <c r="EV49" s="194">
        <v>0</v>
      </c>
      <c r="EW49" s="194">
        <f xml:space="preserve"> SUM( EX$4:EX49, -EX49 )</f>
        <v>6</v>
      </c>
      <c r="EX49" s="194">
        <v>0</v>
      </c>
      <c r="EZ49" t="s">
        <v>561</v>
      </c>
      <c r="FB49" s="237">
        <f xml:space="preserve"> SUM( FC$4:FC49, -FC49 )</f>
        <v>1</v>
      </c>
      <c r="FC49" s="237">
        <v>0</v>
      </c>
      <c r="FD49" s="237">
        <f xml:space="preserve"> SUM( FE$4:FE49, -FE49 )</f>
        <v>1</v>
      </c>
      <c r="FE49" s="237">
        <v>0</v>
      </c>
      <c r="FF49" t="str">
        <f t="shared" ref="FF49" si="230">EZ49</f>
        <v>Computer</v>
      </c>
    </row>
    <row r="50" spans="1:162">
      <c r="B50" s="8"/>
      <c r="C50" s="66"/>
      <c r="D50" s="99"/>
      <c r="E50" s="66"/>
      <c r="F50" s="66"/>
      <c r="G50" s="48"/>
      <c r="H50" s="86"/>
      <c r="I50" s="4"/>
      <c r="J50" s="48"/>
      <c r="K50" s="80"/>
      <c r="L50" s="80"/>
      <c r="M50" s="48"/>
      <c r="N50" s="48"/>
      <c r="O50" s="48"/>
      <c r="S50" s="223"/>
      <c r="Z50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                                                                         </v>
      </c>
      <c r="AA50" s="160" t="str">
        <f xml:space="preserve"> IF( OR(TRUE), CONCATENATE( newline &amp; AB50 &amp; AC50 &amp; AD50 &amp; AE50 &amp; AF50 &amp; AG50 &amp; AH50 &amp; AI50 &amp; AJ50 &amp; AK50 ), "" )</f>
        <v xml:space="preserve">
                                                                         </v>
      </c>
      <c r="AB50" s="161" t="str">
        <f t="shared" ref="AB50:AB115" si="231" xml:space="preserve"> CONCATENATE( A50 )</f>
        <v/>
      </c>
      <c r="AC50" s="160" t="str">
        <f t="shared" si="1"/>
        <v xml:space="preserve">                               </v>
      </c>
      <c r="AD50" s="160" t="str">
        <f t="shared" si="2"/>
        <v xml:space="preserve">            </v>
      </c>
      <c r="AE50" s="162" t="str">
        <f t="shared" ref="AE50:AE118" si="232" xml:space="preserve"> CONCATENATE( J50 )</f>
        <v/>
      </c>
      <c r="AF50" s="160" t="str">
        <f t="shared" si="3"/>
        <v xml:space="preserve">            </v>
      </c>
      <c r="AG50" s="161" t="str">
        <f t="shared" ref="AG50:AG118" si="233" xml:space="preserve"> CONCATENATE( K50 )</f>
        <v/>
      </c>
      <c r="AH50" s="160" t="str">
        <f t="shared" si="53"/>
        <v xml:space="preserve">            </v>
      </c>
      <c r="AI50" s="163" t="str">
        <f t="shared" ref="AI50:AI118" si="234" xml:space="preserve"> CONCATENATE( L50 )</f>
        <v/>
      </c>
      <c r="AJ50" s="160" t="str">
        <f t="shared" si="5"/>
        <v xml:space="preserve">      </v>
      </c>
      <c r="AK50" s="163" t="str">
        <f t="shared" si="14"/>
        <v/>
      </c>
      <c r="AL50" s="163"/>
      <c r="AM50" s="153"/>
      <c r="AN50" s="153"/>
      <c r="AO50" s="153"/>
      <c r="AP50" s="153"/>
      <c r="AQ50" s="102"/>
      <c r="AR50" s="103"/>
      <c r="AS50" s="98"/>
      <c r="AU50" s="8"/>
      <c r="AV50" s="8"/>
      <c r="AW50" s="90"/>
      <c r="AX50" s="8"/>
      <c r="AY50" s="8"/>
      <c r="AZ50" s="8"/>
      <c r="BA50" s="8"/>
      <c r="BB50" s="56"/>
      <c r="BM50" s="98"/>
      <c r="BN50" s="31"/>
      <c r="BO50" s="31"/>
      <c r="BZ50" s="248">
        <f t="shared" si="213"/>
        <v>3</v>
      </c>
      <c r="CA50" s="248">
        <f t="shared" si="214"/>
        <v>3</v>
      </c>
      <c r="CB50" t="s">
        <v>431</v>
      </c>
      <c r="DL50"/>
      <c r="DQ50" s="44"/>
      <c r="DW50" s="194">
        <f xml:space="preserve"> SUM( DX$4:DX50, -DX50 )</f>
        <v>0</v>
      </c>
      <c r="DX50" s="194">
        <v>0</v>
      </c>
      <c r="DY50" s="194">
        <f xml:space="preserve"> SUM( DZ$4:DZ50, -DZ50 )</f>
        <v>13</v>
      </c>
      <c r="DZ50" s="194">
        <f t="shared" si="212"/>
        <v>0</v>
      </c>
      <c r="EA50" s="194">
        <f xml:space="preserve"> SUM( EB$4:EB50, -EB50 )</f>
        <v>0</v>
      </c>
      <c r="EB50" s="194">
        <v>0</v>
      </c>
      <c r="EC50" s="194">
        <f xml:space="preserve"> SUM( ED$4:ED50, -ED50 )</f>
        <v>0</v>
      </c>
      <c r="ED50" s="194">
        <v>0</v>
      </c>
      <c r="EE50" s="194">
        <f xml:space="preserve"> SUM( EF$4:EF50, -EF50 )</f>
        <v>0</v>
      </c>
      <c r="EF50" s="194">
        <v>0</v>
      </c>
      <c r="EG50" s="194">
        <f xml:space="preserve"> SUM( EH$4:EH50, -EH50 )</f>
        <v>0</v>
      </c>
      <c r="EH50" s="194">
        <v>0</v>
      </c>
      <c r="EI50" s="194">
        <f xml:space="preserve"> SUM( EJ$4:EJ50, -EJ50 )</f>
        <v>0</v>
      </c>
      <c r="EJ50" s="194">
        <v>0</v>
      </c>
      <c r="EK50" s="194">
        <f xml:space="preserve"> SUM( EL$4:EL50, -EL50 )</f>
        <v>0</v>
      </c>
      <c r="EL50" s="194">
        <v>0</v>
      </c>
      <c r="EM50" s="194">
        <f xml:space="preserve"> SUM( EN$4:EN50, -EN50 )</f>
        <v>0</v>
      </c>
      <c r="EN50" s="194">
        <v>0</v>
      </c>
      <c r="EO50" s="194">
        <f xml:space="preserve"> SUM( EP$4:EP50, -EP50 )</f>
        <v>0</v>
      </c>
      <c r="EP50" s="194">
        <v>0</v>
      </c>
      <c r="EQ50" s="194">
        <f xml:space="preserve"> SUM( ER$4:ER50, -ER50 )</f>
        <v>24</v>
      </c>
      <c r="ER50" s="194">
        <v>0</v>
      </c>
      <c r="ES50" s="194">
        <f xml:space="preserve"> SUM( ET$4:ET50, -ET50 )</f>
        <v>0</v>
      </c>
      <c r="ET50" s="194">
        <v>0</v>
      </c>
      <c r="EU50" s="194">
        <f xml:space="preserve"> SUM( EV$4:EV50, -EV50 )</f>
        <v>10</v>
      </c>
      <c r="EV50" s="194">
        <v>0</v>
      </c>
      <c r="EW50" s="194">
        <f xml:space="preserve"> SUM( EX$4:EX50, -EX50 )</f>
        <v>6</v>
      </c>
      <c r="EX50" s="194">
        <v>0</v>
      </c>
      <c r="EZ50">
        <f t="shared" si="15"/>
        <v>0</v>
      </c>
      <c r="FB50" s="237">
        <f xml:space="preserve"> SUM( FC$4:FC50, -FC50 )</f>
        <v>1</v>
      </c>
      <c r="FC50" s="237">
        <v>0</v>
      </c>
      <c r="FD50" s="237">
        <f xml:space="preserve"> SUM( FE$4:FE50, -FE50 )</f>
        <v>1</v>
      </c>
      <c r="FE50" s="237">
        <v>0</v>
      </c>
      <c r="FF50">
        <f t="shared" si="16"/>
        <v>0</v>
      </c>
    </row>
    <row r="51" spans="1:162">
      <c r="A51" s="54" t="s">
        <v>890</v>
      </c>
      <c r="B51" t="s">
        <v>179</v>
      </c>
      <c r="C51" s="15" t="s">
        <v>464</v>
      </c>
      <c r="D51" s="15" t="s">
        <v>1147</v>
      </c>
      <c r="E51" s="66" t="s">
        <v>267</v>
      </c>
      <c r="F51" s="66" t="s">
        <v>122</v>
      </c>
      <c r="G51" s="1" t="s">
        <v>1114</v>
      </c>
      <c r="H51" s="28" t="s">
        <v>179</v>
      </c>
      <c r="I51" s="70" t="s">
        <v>80</v>
      </c>
      <c r="J51" s="3"/>
      <c r="K51" s="51"/>
      <c r="L51" s="51"/>
      <c r="M51" s="3"/>
      <c r="N51" s="48"/>
      <c r="O51" s="44" t="s">
        <v>734</v>
      </c>
      <c r="P51" s="66" t="s">
        <v>217</v>
      </c>
      <c r="Q51" s="44"/>
      <c r="R51" s="44"/>
      <c r="S51" s="223"/>
      <c r="T51" s="44"/>
      <c r="U51" s="44"/>
      <c r="V51" s="44"/>
      <c r="W51" s="44"/>
      <c r="X51" s="44"/>
      <c r="Y51" s="155"/>
      <c r="Z51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</v>
      </c>
      <c r="AA51" s="160" t="str">
        <f xml:space="preserve"> IF( OR(TRUE), CONCATENATE( newline &amp; AB51 &amp; AC51 &amp; AD51 &amp; AE51 &amp; AF51 &amp; AG51 &amp; AH51 &amp; AI51 &amp; AJ51 &amp; AK51 ), "" )</f>
        <v xml:space="preserve">
Sensors                                                                  </v>
      </c>
      <c r="AB51" s="161" t="str">
        <f t="shared" si="231"/>
        <v>Sensors</v>
      </c>
      <c r="AC51" s="160" t="str">
        <f t="shared" si="1"/>
        <v xml:space="preserve">                        </v>
      </c>
      <c r="AD51" s="160" t="str">
        <f t="shared" si="2"/>
        <v xml:space="preserve">            </v>
      </c>
      <c r="AE51" s="162" t="str">
        <f t="shared" si="232"/>
        <v/>
      </c>
      <c r="AF51" s="160" t="str">
        <f t="shared" si="3"/>
        <v xml:space="preserve">            </v>
      </c>
      <c r="AG51" s="161" t="str">
        <f t="shared" si="233"/>
        <v/>
      </c>
      <c r="AH51" s="160" t="str">
        <f t="shared" si="53"/>
        <v xml:space="preserve">            </v>
      </c>
      <c r="AI51" s="163" t="str">
        <f t="shared" si="234"/>
        <v/>
      </c>
      <c r="AJ51" s="160" t="str">
        <f t="shared" si="5"/>
        <v xml:space="preserve">      </v>
      </c>
      <c r="AK51" s="163" t="str">
        <f t="shared" si="14"/>
        <v/>
      </c>
      <c r="AL51" s="163"/>
      <c r="AM51" s="153"/>
      <c r="AN51" s="153"/>
      <c r="AO51" s="153"/>
      <c r="AP51" s="153"/>
      <c r="AQ51" s="1" t="s">
        <v>865</v>
      </c>
      <c r="AR51" s="18" t="s">
        <v>949</v>
      </c>
      <c r="AS51" t="s">
        <v>397</v>
      </c>
      <c r="BE51" s="1" t="s">
        <v>227</v>
      </c>
      <c r="BF51" s="1" t="s">
        <v>464</v>
      </c>
      <c r="BG51" s="1" t="s">
        <v>269</v>
      </c>
      <c r="BH51" s="1" t="s">
        <v>400</v>
      </c>
      <c r="BI51" s="1" t="s">
        <v>56</v>
      </c>
      <c r="BJ51" s="1"/>
      <c r="BK51" s="1"/>
      <c r="BL51" s="1" t="s">
        <v>854</v>
      </c>
      <c r="BM51" s="1" t="s">
        <v>869</v>
      </c>
      <c r="BN51" s="1" t="s">
        <v>56</v>
      </c>
      <c r="BO51" s="1" t="s">
        <v>949</v>
      </c>
      <c r="BP51" s="1" t="s">
        <v>241</v>
      </c>
      <c r="BQ51" s="1"/>
      <c r="BR51" s="1"/>
      <c r="BS51" s="1" t="s">
        <v>227</v>
      </c>
      <c r="BT51" s="1" t="s">
        <v>400</v>
      </c>
      <c r="BU51" s="1" t="s">
        <v>743</v>
      </c>
      <c r="BV51" s="1" t="s">
        <v>269</v>
      </c>
      <c r="BW51" s="1" t="s">
        <v>483</v>
      </c>
      <c r="BX51" s="1" t="s">
        <v>869</v>
      </c>
      <c r="BY51" s="1" t="s">
        <v>56</v>
      </c>
      <c r="CA51" s="1" t="s">
        <v>162</v>
      </c>
      <c r="CB51" s="1" t="s">
        <v>151</v>
      </c>
      <c r="CC51" s="1" t="str">
        <f>"+Size"</f>
        <v>+Size</v>
      </c>
      <c r="CD51" s="1" t="str">
        <f>"+Cost"</f>
        <v>+Cost</v>
      </c>
      <c r="CE51" s="1" t="s">
        <v>980</v>
      </c>
      <c r="CG51" s="1" t="s">
        <v>151</v>
      </c>
      <c r="CH51" s="1" t="str">
        <f>"+Size"</f>
        <v>+Size</v>
      </c>
      <c r="CI51" s="1" t="str">
        <f>"+Cost"</f>
        <v>+Cost</v>
      </c>
      <c r="CJ51" s="1" t="s">
        <v>980</v>
      </c>
      <c r="CM51" s="1" t="s">
        <v>196</v>
      </c>
      <c r="CN51" s="1" t="s">
        <v>424</v>
      </c>
      <c r="CW51" s="1" t="s">
        <v>1053</v>
      </c>
      <c r="CX51" s="1" t="s">
        <v>662</v>
      </c>
      <c r="CY51" s="113" t="s">
        <v>527</v>
      </c>
      <c r="CZ51" s="113" t="s">
        <v>414</v>
      </c>
      <c r="DA51" s="113" t="s">
        <v>413</v>
      </c>
      <c r="DB51" s="94" t="s">
        <v>679</v>
      </c>
      <c r="DD51" s="113" t="s">
        <v>98</v>
      </c>
      <c r="DE51" s="114">
        <v>-2</v>
      </c>
      <c r="DF51" s="114">
        <v>-1</v>
      </c>
      <c r="DG51" s="114">
        <v>0</v>
      </c>
      <c r="DH51" s="114">
        <v>1</v>
      </c>
      <c r="DI51" s="114">
        <v>2</v>
      </c>
      <c r="DJ51" s="114">
        <v>3</v>
      </c>
      <c r="DL51"/>
      <c r="DQ51" s="44"/>
      <c r="DW51" s="194">
        <f xml:space="preserve"> SUM( DX$4:DX51, -DX51 )</f>
        <v>0</v>
      </c>
      <c r="DX51" s="194">
        <v>0</v>
      </c>
      <c r="DY51" s="194">
        <f xml:space="preserve"> SUM( DZ$4:DZ51, -DZ51 )</f>
        <v>13</v>
      </c>
      <c r="DZ51" s="194">
        <v>0</v>
      </c>
      <c r="EA51" s="194">
        <f xml:space="preserve"> SUM( EB$4:EB51, -EB51 )</f>
        <v>0</v>
      </c>
      <c r="EB51" s="194">
        <v>0</v>
      </c>
      <c r="EC51" s="194">
        <f xml:space="preserve"> SUM( ED$4:ED51, -ED51 )</f>
        <v>0</v>
      </c>
      <c r="ED51" s="194">
        <v>0</v>
      </c>
      <c r="EE51" s="194">
        <f xml:space="preserve"> SUM( EF$4:EF51, -EF51 )</f>
        <v>0</v>
      </c>
      <c r="EF51" s="194">
        <v>0</v>
      </c>
      <c r="EG51" s="194">
        <f xml:space="preserve"> SUM( EH$4:EH51, -EH51 )</f>
        <v>0</v>
      </c>
      <c r="EH51" s="194">
        <v>0</v>
      </c>
      <c r="EI51" s="194">
        <f xml:space="preserve"> SUM( EJ$4:EJ51, -EJ51 )</f>
        <v>0</v>
      </c>
      <c r="EJ51" s="194">
        <v>0</v>
      </c>
      <c r="EK51" s="194">
        <f xml:space="preserve"> SUM( EL$4:EL51, -EL51 )</f>
        <v>0</v>
      </c>
      <c r="EL51" s="194">
        <v>0</v>
      </c>
      <c r="EM51" s="194">
        <f xml:space="preserve"> SUM( EN$4:EN51, -EN51 )</f>
        <v>0</v>
      </c>
      <c r="EN51" s="194">
        <v>0</v>
      </c>
      <c r="EO51" s="194">
        <f xml:space="preserve"> SUM( EP$4:EP51, -EP51 )</f>
        <v>0</v>
      </c>
      <c r="EP51" s="194">
        <v>0</v>
      </c>
      <c r="EQ51" s="194">
        <f xml:space="preserve"> SUM( ER$4:ER51, -ER51 )</f>
        <v>24</v>
      </c>
      <c r="ER51" s="194">
        <v>0</v>
      </c>
      <c r="ES51" s="194">
        <f xml:space="preserve"> SUM( ET$4:ET51, -ET51 )</f>
        <v>0</v>
      </c>
      <c r="ET51" s="194">
        <v>0</v>
      </c>
      <c r="EU51" s="194">
        <f xml:space="preserve"> SUM( EV$4:EV51, -EV51 )</f>
        <v>10</v>
      </c>
      <c r="EV51" s="194">
        <v>0</v>
      </c>
      <c r="EW51" s="194">
        <f xml:space="preserve"> SUM( EX$4:EX51, -EX51 )</f>
        <v>6</v>
      </c>
      <c r="EX51" s="194">
        <v>0</v>
      </c>
      <c r="EZ51" t="str">
        <f t="shared" si="15"/>
        <v>Sensors</v>
      </c>
      <c r="FB51" s="237">
        <f xml:space="preserve"> SUM( FC$4:FC51, -FC51 )</f>
        <v>1</v>
      </c>
      <c r="FC51" s="237">
        <v>0</v>
      </c>
      <c r="FD51" s="237">
        <f xml:space="preserve"> SUM( FE$4:FE51, -FE51 )</f>
        <v>1</v>
      </c>
      <c r="FE51" s="237">
        <v>0</v>
      </c>
      <c r="FF51" t="str">
        <f t="shared" si="16"/>
        <v>Sensors</v>
      </c>
    </row>
    <row r="52" spans="1:162">
      <c r="A52" s="63" t="str">
        <f xml:space="preserve"> IF( Hull&lt;100, Tables!$A$407, Tables!$A$408 )</f>
        <v>Communicator</v>
      </c>
      <c r="B52" s="8" t="str">
        <f>AV52</f>
        <v>Mod</v>
      </c>
      <c r="C52" s="63" t="s">
        <v>990</v>
      </c>
      <c r="D52" s="63" t="str">
        <f xml:space="preserve"> IF( Military&gt;-1, $DB52, Tables!$B$391 )</f>
        <v>Rng±0, TL±0</v>
      </c>
      <c r="E52" s="81">
        <v>0</v>
      </c>
      <c r="F52" s="82">
        <v>0</v>
      </c>
      <c r="G52" s="10">
        <v>1</v>
      </c>
      <c r="H52" s="221">
        <f t="shared" ref="H52:H59" si="235" xml:space="preserve"> (G52&gt;0) * ( 0.5*(CN52&gt;0) + 1.5*(CN52&gt;=2) + 4*(Military&gt;1) )</f>
        <v>2</v>
      </c>
      <c r="I52" s="4">
        <f>BE52+AW52+BS52</f>
        <v>10</v>
      </c>
      <c r="J52" s="62">
        <f xml:space="preserve"> IF( I52&gt;$S52, -1*(G52&gt;0),  G52  )</f>
        <v>1</v>
      </c>
      <c r="K52" s="51">
        <f xml:space="preserve"> ROUND(  J52*( (BM52+CC52+CH52) * BX52 ),  2  )</f>
        <v>0</v>
      </c>
      <c r="L52" s="51">
        <f xml:space="preserve"> ROUND(  J52*( BI52*AY52 + (BN52+CD52+CI52) * BY52 ) * ( 1 + 0.1*($S52=TL+1) ),  2  )</f>
        <v>1.5</v>
      </c>
      <c r="M52" s="191">
        <f>J52*BP52*(K52/MAX(1,J52)&gt;=1)</f>
        <v>0</v>
      </c>
      <c r="N52" s="191">
        <f xml:space="preserve"> J52 * BP52 * (K52/MAX(1,J52)&lt;1)</f>
        <v>0</v>
      </c>
      <c r="O52" s="204" t="str">
        <f t="shared" ref="O52:O59" si="236" xml:space="preserve"> IF( J52&gt;0,  IF( BK52&lt;0, "invalid", IF( BH52&lt;10, CONCATENATE("R=",AQ52), CONCATENATE("S=",AQ52-5) ) ), "" )</f>
        <v>S=7</v>
      </c>
      <c r="P52" s="196" t="str">
        <f xml:space="preserve"> IF(  J52&gt;0,  CONCATENATE( IF(AS52&lt;&gt;0,CONCATENATE(AV52," "),""), BC52, " ", BL52, " ", IF(CC52&gt;0,"Ext ",""), IF(CH52&gt;0,"De ",""), LEFT(A52,5), "-", I52, " ", IF(AR52&gt;0,"+",IF(AR52=0,"±","")), AR52, IF(CR52&gt;0,CONCATENATE(" A+",VLOOKUP( $AQ52, Tables!$A$366:$G$384, 2 ))," A--"), " ", IF(CQ52&gt;0,"P",""), IF(CR52&gt;0,"A",""), "(",CS52,")" ), ""  )</f>
        <v>Mod AR Surf Commu-10 +2 A+7 PA(Elec)</v>
      </c>
      <c r="S52" s="223">
        <f t="shared" ref="S52:S59" si="237" xml:space="preserve"> TL</f>
        <v>12</v>
      </c>
      <c r="T52" t="str">
        <f t="shared" ref="T52:T59" ca="1" si="238" xml:space="preserve"> IF( L52&gt;0, CONCATENATE( DQ52, DR52, DS52, DT52, DU52 ), "" )</f>
        <v>6 4-1-2-2</v>
      </c>
      <c r="Z52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</v>
      </c>
      <c r="AA52" s="160" t="str">
        <f t="shared" ref="AA52:AA59" si="239" xml:space="preserve"> IF( OR(J52&lt;&gt;0,K52&lt;&gt;0,L52&lt;&gt;0), CONCATENATE( newline &amp; AB52 &amp; AC52 &amp; AD52 &amp; AE52 &amp; AF52 &amp; AG52 &amp; AH52 &amp; AI52 &amp; AJ52 &amp; AK52 ), "" )</f>
        <v xml:space="preserve">
Mod AR Surf Commu-10 +2 A+7 PA            1           0         1,5      </v>
      </c>
      <c r="AB52" s="161" t="str">
        <f xml:space="preserve"> CONCATENATE( LEFT(P52,30) )</f>
        <v>Mod AR Surf Commu-10 +2 A+7 PA</v>
      </c>
      <c r="AC52" s="160" t="str">
        <f t="shared" si="1"/>
        <v xml:space="preserve"> </v>
      </c>
      <c r="AD52" s="160" t="str">
        <f t="shared" si="2"/>
        <v xml:space="preserve">           </v>
      </c>
      <c r="AE52" s="162" t="str">
        <f t="shared" si="232"/>
        <v>1</v>
      </c>
      <c r="AF52" s="160" t="str">
        <f t="shared" si="3"/>
        <v xml:space="preserve">           </v>
      </c>
      <c r="AG52" s="161" t="str">
        <f t="shared" si="233"/>
        <v>0</v>
      </c>
      <c r="AH52" s="160" t="str">
        <f t="shared" si="53"/>
        <v xml:space="preserve">         </v>
      </c>
      <c r="AI52" s="163" t="str">
        <f t="shared" si="234"/>
        <v>1,5</v>
      </c>
      <c r="AJ52" s="160" t="str">
        <f t="shared" si="5"/>
        <v xml:space="preserve">      </v>
      </c>
      <c r="AK52" s="163" t="str">
        <f t="shared" si="14"/>
        <v/>
      </c>
      <c r="AL52" s="163"/>
      <c r="AM52" s="153"/>
      <c r="AN52" s="153"/>
      <c r="AO52" s="153">
        <f xml:space="preserve"> J52 * MAX( 1, ROUNDUP(IFERROR(K52/J52,0)/35,0) ) * (L52&gt;=0) * (A52&lt;&gt;Tables!$A$414)</f>
        <v>1</v>
      </c>
      <c r="AP52" s="153"/>
      <c r="AQ52">
        <f>BH52+IF( BH52&gt;10, BW52, BU52 )</f>
        <v>12</v>
      </c>
      <c r="AR52" s="64">
        <f xml:space="preserve"> 0*VLOOKUP( $AQ52, Tables!$A$366:$G$384, 2 ) + BB52 + BO52 + CE52 + CJ52</f>
        <v>2</v>
      </c>
      <c r="AS52" s="69">
        <f xml:space="preserve"> IF(  BI52&gt;0,  MIN( H52, $S52 - BE52 - BS52 ),  0  )</f>
        <v>2</v>
      </c>
      <c r="AT52" t="s">
        <v>378</v>
      </c>
      <c r="AU52" s="8" t="str">
        <f>VLOOKUP( $AS52, Tables!$A$184:$H$193,  2 )</f>
        <v>Modified</v>
      </c>
      <c r="AV52" s="8" t="str">
        <f>VLOOKUP( $AS52, Tables!$A$184:$H$193,  3 )</f>
        <v>Mod</v>
      </c>
      <c r="AW52" s="52">
        <f>VLOOKUP( $AS52, Tables!$A$184:$H$193, 4 )</f>
        <v>2</v>
      </c>
      <c r="AX52" s="8">
        <f>VLOOKUP( $AS52, Tables!$A$184:$H$193,  5 )</f>
        <v>1</v>
      </c>
      <c r="AY52" s="8">
        <f>VLOOKUP( $AS52, Tables!$A$184:$H$193, 6 )</f>
        <v>0.5</v>
      </c>
      <c r="AZ52" s="8">
        <f>VLOOKUP( $AS52, Tables!$A$184:$H$193, 7 )</f>
        <v>1.1000000000000001</v>
      </c>
      <c r="BA52" s="8">
        <f>VLOOKUP( $AS52, Tables!$A$184:$H$193, 8 )</f>
        <v>0.9</v>
      </c>
      <c r="BB52" s="60">
        <f>VLOOKUP( $AS52, Tables!$A$184:$Q$193, 9 )</f>
        <v>2</v>
      </c>
      <c r="BC52" s="109" t="str">
        <f xml:space="preserve"> VLOOKUP( $AQ52, Tables!$C$366:$H$384, IF($BH52&gt;10,3,6) )</f>
        <v>AR</v>
      </c>
      <c r="BD52" t="s">
        <v>470</v>
      </c>
      <c r="BE52">
        <f>VLOOKUP( $A52, Tables!$A$407:$G$431, 3, 0 )</f>
        <v>8</v>
      </c>
      <c r="BF52">
        <f>VLOOKUP( $A52, Tables!$A$407:$G$431, 4, 0 )</f>
        <v>1</v>
      </c>
      <c r="BG52">
        <f>VLOOKUP( $A52, Tables!$A$407:$G$431, 5, 0 )</f>
        <v>7</v>
      </c>
      <c r="BH52">
        <f>VLOOKUP( $A52, Tables!$A$407:$G$431, 6, 0 )</f>
        <v>12</v>
      </c>
      <c r="BI52">
        <f>VLOOKUP( $A52, Tables!$A$407:$G$431, 7, 0 )</f>
        <v>1</v>
      </c>
      <c r="BJ52" t="str">
        <f>VLOOKUP( $A52, Tables!$A$407:$G$431, 2, 0 )</f>
        <v>C</v>
      </c>
      <c r="BK52" t="s">
        <v>109</v>
      </c>
      <c r="BL52" t="str">
        <f xml:space="preserve"> IF( BI52&gt;0,  VLOOKUP( $C52, Tables!$B$435:$H$447, 3, 0 ),  Tables!$D$435  )</f>
        <v>Surf</v>
      </c>
      <c r="BM52">
        <f>VLOOKUP( $BL52, Tables!$D$435:$H$447, 2, 0 )</f>
        <v>0</v>
      </c>
      <c r="BN52">
        <f>VLOOKUP( $BL52, Tables!$D$435:$H$447, 3, 0 )</f>
        <v>1</v>
      </c>
      <c r="BO52">
        <f>VLOOKUP( $BL52, Tables!$D$435:$H$447, 4, 0 )</f>
        <v>0</v>
      </c>
      <c r="BP52">
        <f>VLOOKUP( $BL52, Tables!$D$435:$H$447, 5, 0 )</f>
        <v>0</v>
      </c>
      <c r="BR52" t="s">
        <v>618</v>
      </c>
      <c r="BS52">
        <f>VLOOKUP( $D52, Tables!$B$388:$J$394, IF( $BH52&lt;10, 2,9), 0 )</f>
        <v>0</v>
      </c>
      <c r="BT52">
        <f>VLOOKUP( $D52, Tables!$B$388:$I$394, 3, 0 )</f>
        <v>7</v>
      </c>
      <c r="BU52">
        <f>VLOOKUP( $D52, Tables!$B$388:$I$394, 4, 0 )</f>
        <v>0</v>
      </c>
      <c r="BV52">
        <f>VLOOKUP( $D52, Tables!$B$388:$I$394, 5, 0 )</f>
        <v>7</v>
      </c>
      <c r="BW52">
        <f>VLOOKUP( $D52, Tables!$B$388:$I$394, 6, 0 )</f>
        <v>0</v>
      </c>
      <c r="BX52" s="61">
        <f>VLOOKUP( $D52, Tables!$B$388:$L$394, IF( $BH52&lt;10, 7, 10 ), 0 )</f>
        <v>1</v>
      </c>
      <c r="BY52" s="61">
        <f>VLOOKUP( $D52, Tables!$B$388:$L$394, IF( $BH52&lt;10, 8, 11 ), 0 )</f>
        <v>1</v>
      </c>
      <c r="CA52">
        <f xml:space="preserve"> VLOOKUP( $C52, Tables!$B$435:$I$447, 2, 0 )</f>
        <v>3</v>
      </c>
      <c r="CB52">
        <f t="shared" ref="CB52:CB59" si="240" xml:space="preserve"> ($E52&gt;0) * 1 * ($CA52&gt;3) * ($CA52&lt;10)</f>
        <v>0</v>
      </c>
      <c r="CC52">
        <f>($CB52&gt;0)*2</f>
        <v>0</v>
      </c>
      <c r="CD52">
        <f>($CB52&gt;0)*1</f>
        <v>0</v>
      </c>
      <c r="CE52">
        <f>($CB52&gt;0)*3</f>
        <v>0</v>
      </c>
      <c r="CG52">
        <f t="shared" ref="CG52:CG59" si="241" xml:space="preserve"> ($F52&gt;0) * 1 * ($CA52&gt;3) * ($CA52&lt;10)</f>
        <v>0</v>
      </c>
      <c r="CH52">
        <f>($CG52&gt;0)*2</f>
        <v>0</v>
      </c>
      <c r="CI52">
        <f>($CG52&gt;0)*3</f>
        <v>0</v>
      </c>
      <c r="CJ52">
        <f>($CG52&gt;0)*0</f>
        <v>0</v>
      </c>
      <c r="CM52">
        <f>BE52+BS52</f>
        <v>8</v>
      </c>
      <c r="CN52">
        <f>$S52 - CM52</f>
        <v>4</v>
      </c>
      <c r="CQ52">
        <f>VLOOKUP( $A52, Tables!$A$407:$J$431, 8, 0 )</f>
        <v>1</v>
      </c>
      <c r="CR52">
        <f>VLOOKUP( $A52, Tables!$A$407:$J$431, 9, 0 )</f>
        <v>1</v>
      </c>
      <c r="CS52" t="str">
        <f>VLOOKUP( $A52, Tables!$A$407:$J$431, 10, 0 )</f>
        <v>Elec</v>
      </c>
      <c r="CW52">
        <f xml:space="preserve"> J52 * (BP52=0)</f>
        <v>1</v>
      </c>
      <c r="CX52">
        <f xml:space="preserve"> J52 * (BP52&gt;0)</f>
        <v>0</v>
      </c>
      <c r="CY52">
        <f t="shared" ref="CY52:CY59" si="242" xml:space="preserve"> $S52-$BE52+IF(Military&gt;0,1,-1)</f>
        <v>3</v>
      </c>
      <c r="CZ52">
        <f xml:space="preserve"> -2 - 1*($DD52&gt;10)</f>
        <v>-3</v>
      </c>
      <c r="DA52">
        <f xml:space="preserve"> 3 - 1*($DD52&gt;10)</f>
        <v>2</v>
      </c>
      <c r="DB52" t="str">
        <f xml:space="preserve"> IF(  BI52&gt;0,  VLOOKUP( MIN( MAX( CZ52, IF( CY52&lt;0, CY52, 0+CY52*(Military&gt;1) )), DA52 ), RangeEffectTable, 2 ),  Tables!$B$391  )</f>
        <v>Rng±0, TL±0</v>
      </c>
      <c r="DD52">
        <f xml:space="preserve"> $BH52</f>
        <v>12</v>
      </c>
      <c r="DE52" t="str">
        <f xml:space="preserve"> IF(  $BI52&gt;0,  VLOOKUP( DE$51 - 1*($DD52&gt;10), RangeEffectTable, 2 ),  Tables!$B$391  )</f>
        <v>Rng-3, TL-3</v>
      </c>
      <c r="DF52" t="str">
        <f xml:space="preserve"> IF(  $BI52&gt;0,  VLOOKUP( DF$51 - 1*($DD52&gt;10), RangeEffectTable, 2 ),  Tables!$B$391  )</f>
        <v>Rng-2, TL-2</v>
      </c>
      <c r="DG52" t="str">
        <f xml:space="preserve"> IF(  $BI52&gt;0,  VLOOKUP( DG$51 - 1*($DD52&gt;10), RangeEffectTable, 2 ),  Tables!$B$391  )</f>
        <v>Rng-1, TL-1</v>
      </c>
      <c r="DH52" t="str">
        <f xml:space="preserve"> IF(  $BI52&gt;0,  VLOOKUP( DH$51 - 1*($DD52&gt;10), RangeEffectTable, 2 ),  Tables!$B$391  )</f>
        <v>Rng±0, TL±0</v>
      </c>
      <c r="DI52" t="str">
        <f xml:space="preserve"> IF(  $BI52&gt;0,  VLOOKUP( DI$51 - 1*($DD52&gt;10), RangeEffectTable, 2 ),  Tables!$B$391  )</f>
        <v>Rng+1, TL+1</v>
      </c>
      <c r="DJ52" t="str">
        <f xml:space="preserve"> IF(  $BI52&gt;0,  VLOOKUP( DJ$51 - 1*($DD52&gt;10), RangeEffectTable, 2 ),  Tables!$B$391  )</f>
        <v>Rng+2, TL+2</v>
      </c>
      <c r="DL52">
        <f ca="1" xml:space="preserve"> IF( $AV52=Tables!$C$189, 5, RANDBETWEEN(1,6)+RANDBETWEEN(1,6)-2 )</f>
        <v>6</v>
      </c>
      <c r="DM52">
        <f ca="1" xml:space="preserve"> IF( $AV52=Tables!$C$189, 0, RANDBETWEEN(1,6)-RANDBETWEEN(1,6)+ VLOOKUP( $AS52, Tables!$A$184:$Q$193,  14 ) )</f>
        <v>4</v>
      </c>
      <c r="DN52">
        <f ca="1" xml:space="preserve"> IF( $AV52=Tables!$C$189, 0, RANDBETWEEN(1,6)-RANDBETWEEN(1,6)+ VLOOKUP( $AS52, Tables!$A$184:$Q$193,  15 ) )</f>
        <v>-1</v>
      </c>
      <c r="DO52">
        <f ca="1" xml:space="preserve"> IF( $AV52=Tables!$C$189, 0, RANDBETWEEN(1,6)-RANDBETWEEN(1,6)+ VLOOKUP( $AS52, Tables!$A$184:$Q$193,  16 ) )</f>
        <v>-2</v>
      </c>
      <c r="DP52">
        <f ca="1" xml:space="preserve"> IF( $AV52=Tables!$C$189, 0, RANDBETWEEN(1,6)-RANDBETWEEN(1,6)+ VLOOKUP( $AS52, Tables!$A$184:$Q$193,  17 ) )</f>
        <v>-2</v>
      </c>
      <c r="DQ52" s="44" t="str">
        <f ca="1" xml:space="preserve"> VLOOKUP( $DL52,Tables!$B$2:$C$36,2)</f>
        <v>6</v>
      </c>
      <c r="DR52" t="str">
        <f t="shared" ref="DR52:DR59" ca="1" si="243" xml:space="preserve"> IF( DM52&lt;0, CONCATENATE( DM52 ), CONCATENATE( " ", DM52 ) )</f>
        <v xml:space="preserve"> 4</v>
      </c>
      <c r="DS52" t="str">
        <f t="shared" ref="DS52:DS59" ca="1" si="244" xml:space="preserve"> IF( DN52&lt;0, CONCATENATE( DN52 ), CONCATENATE( " ", DN52 ) )</f>
        <v>-1</v>
      </c>
      <c r="DT52" t="str">
        <f t="shared" ref="DT52:DT59" ca="1" si="245" xml:space="preserve"> IF( DO52&lt;0, CONCATENATE( DO52 ), CONCATENATE( " ", DO52 ) )</f>
        <v>-2</v>
      </c>
      <c r="DU52" t="str">
        <f t="shared" ref="DU52:DU59" ca="1" si="246" xml:space="preserve"> IF( DP52&lt;0, CONCATENATE( DP52 ), CONCATENATE( " ", DP52 ) )</f>
        <v>-2</v>
      </c>
      <c r="DW52" s="194">
        <f xml:space="preserve"> SUM( DX$4:DX52, -DX52 )</f>
        <v>0</v>
      </c>
      <c r="DX52" s="194">
        <v>0</v>
      </c>
      <c r="DY52" s="194">
        <f xml:space="preserve"> SUM( DZ$4:DZ52, -DZ52 )</f>
        <v>13</v>
      </c>
      <c r="DZ52" s="194">
        <v>0</v>
      </c>
      <c r="EA52" s="194">
        <f xml:space="preserve"> SUM( EB$4:EB52, -EB52 )</f>
        <v>0</v>
      </c>
      <c r="EB52" s="194">
        <v>0</v>
      </c>
      <c r="EC52" s="194">
        <f xml:space="preserve"> SUM( ED$4:ED52, -ED52 )</f>
        <v>0</v>
      </c>
      <c r="ED52" s="194">
        <v>0</v>
      </c>
      <c r="EE52" s="194">
        <f xml:space="preserve"> SUM( EF$4:EF52, -EF52 )</f>
        <v>0</v>
      </c>
      <c r="EF52" s="194">
        <v>0</v>
      </c>
      <c r="EG52" s="194">
        <f xml:space="preserve"> SUM( EH$4:EH52, -EH52 )</f>
        <v>0</v>
      </c>
      <c r="EH52" s="194">
        <v>0</v>
      </c>
      <c r="EI52" s="194">
        <f xml:space="preserve"> SUM( EJ$4:EJ52, -EJ52 )</f>
        <v>0</v>
      </c>
      <c r="EJ52" s="194">
        <v>0</v>
      </c>
      <c r="EK52" s="194">
        <f xml:space="preserve"> SUM( EL$4:EL52, -EL52 )</f>
        <v>0</v>
      </c>
      <c r="EL52" s="194">
        <v>0</v>
      </c>
      <c r="EM52" s="194">
        <f xml:space="preserve"> SUM( EN$4:EN52, -EN52 )</f>
        <v>0</v>
      </c>
      <c r="EN52" s="194">
        <v>0</v>
      </c>
      <c r="EO52" s="194">
        <f xml:space="preserve"> SUM( EP$4:EP52, -EP52 )</f>
        <v>0</v>
      </c>
      <c r="EP52" s="194">
        <v>0</v>
      </c>
      <c r="EQ52" s="194">
        <f xml:space="preserve"> SUM( ER$4:ER52, -ER52 )</f>
        <v>24</v>
      </c>
      <c r="ER52" s="194">
        <v>0</v>
      </c>
      <c r="ES52" s="194">
        <f xml:space="preserve"> SUM( ET$4:ET52, -ET52 )</f>
        <v>0</v>
      </c>
      <c r="ET52" s="194">
        <v>0</v>
      </c>
      <c r="EU52" s="194">
        <f xml:space="preserve"> SUM( EV$4:EV52, -EV52 )</f>
        <v>10</v>
      </c>
      <c r="EV52" s="194">
        <v>0</v>
      </c>
      <c r="EW52" s="194">
        <f xml:space="preserve"> SUM( EX$4:EX52, -EX52 )</f>
        <v>6</v>
      </c>
      <c r="EX52" s="194">
        <v>0</v>
      </c>
      <c r="EZ52" t="str">
        <f t="shared" si="15"/>
        <v>Communicator</v>
      </c>
      <c r="FB52" s="237">
        <f xml:space="preserve"> SUM( FC$4:FC52, -FC52 )</f>
        <v>1</v>
      </c>
      <c r="FC52" s="237">
        <f>CW52</f>
        <v>1</v>
      </c>
      <c r="FD52" s="237">
        <f xml:space="preserve"> SUM( FE$4:FE52, -FE52 )</f>
        <v>1</v>
      </c>
      <c r="FE52" s="237">
        <f>CX52</f>
        <v>0</v>
      </c>
      <c r="FF52" t="str">
        <f xml:space="preserve"> CONCATENATE( EZ52 &amp; " " &amp; IF(BL52=Tables!$D$438,"",BL52) )</f>
        <v xml:space="preserve">Communicator </v>
      </c>
    </row>
    <row r="53" spans="1:162">
      <c r="A53" s="63" t="s">
        <v>41</v>
      </c>
      <c r="B53" s="8" t="str">
        <f t="shared" ref="B53:B59" si="247">AV53</f>
        <v>Std</v>
      </c>
      <c r="C53" s="63" t="s">
        <v>990</v>
      </c>
      <c r="D53" s="63" t="str">
        <f xml:space="preserve"> IF( Military&gt;-1, $DB53, Tables!$B$391 )</f>
        <v>Rng-3, TL-3</v>
      </c>
      <c r="E53" s="81">
        <v>0</v>
      </c>
      <c r="F53" s="82">
        <v>0</v>
      </c>
      <c r="G53" s="10">
        <f xml:space="preserve"> 1 * (S53&gt;15)</f>
        <v>0</v>
      </c>
      <c r="H53" s="221">
        <f t="shared" si="235"/>
        <v>0</v>
      </c>
      <c r="I53" s="4">
        <f t="shared" ref="I53:I59" si="248">BE53+AW53+BS53</f>
        <v>12</v>
      </c>
      <c r="J53" s="86">
        <f t="shared" ref="J53:J59" si="249" xml:space="preserve"> IF( I53&gt;$S53, -1*(G53&gt;0),  G53  )</f>
        <v>0</v>
      </c>
      <c r="K53" s="194">
        <f t="shared" ref="K53:K59" si="250" xml:space="preserve"> ROUND(  J53*( (BM53+CC53+CH53) * BX53 ),  2  )</f>
        <v>0</v>
      </c>
      <c r="L53" s="194">
        <f t="shared" ref="L53:L59" si="251" xml:space="preserve"> ROUND(  J53*( BI53*AY53 + (BN53+CD53+CI53) * BY53 ) * ( 1 + 0.1*($S53=TL+1) ),  2  )</f>
        <v>0</v>
      </c>
      <c r="M53" s="191">
        <f t="shared" ref="M53:M59" si="252">J53*BP53*(K53/MAX(1,J53)&gt;=1)</f>
        <v>0</v>
      </c>
      <c r="N53" s="191">
        <f t="shared" ref="N53:N59" si="253" xml:space="preserve"> J53 * BP53 * (K53/MAX(1,J53)&lt;1)</f>
        <v>0</v>
      </c>
      <c r="O53" s="204" t="str">
        <f t="shared" si="236"/>
        <v/>
      </c>
      <c r="P53" s="196" t="str">
        <f xml:space="preserve"> IF(  J53&gt;0,  CONCATENATE( IF(AS53&lt;&gt;0,CONCATENATE(AV53," "),""), BC53, " ", BL53, " ", IF(CC53&gt;0,"Ext ",""), IF(CH53&gt;0,"De ",""), LEFT(A53,5), "-", I53, " ", IF(AR53&gt;0,"+",IF(AR53=0,"±","")), AR53, IF(CR53&gt;0,CONCATENATE(" A+",VLOOKUP( $AQ53, Tables!$A$366:$G$384, 2 ))," A--"), " ", IF(CQ53&gt;0,"P",""), IF(CR53&gt;0,"A",""), "(",CS53,")" ), ""  )</f>
        <v/>
      </c>
      <c r="S53" s="223">
        <f t="shared" si="237"/>
        <v>12</v>
      </c>
      <c r="T53" t="str">
        <f t="shared" si="238"/>
        <v/>
      </c>
      <c r="Z53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</v>
      </c>
      <c r="AA53" s="160" t="str">
        <f t="shared" si="239"/>
        <v/>
      </c>
      <c r="AB53" s="161" t="str">
        <f t="shared" ref="AB53:AB59" si="254" xml:space="preserve"> CONCATENATE( LEFT(P53,30) )</f>
        <v/>
      </c>
      <c r="AC53" s="160" t="str">
        <f t="shared" si="1"/>
        <v xml:space="preserve">                               </v>
      </c>
      <c r="AD53" s="160" t="str">
        <f t="shared" si="2"/>
        <v xml:space="preserve">           </v>
      </c>
      <c r="AE53" s="162" t="str">
        <f t="shared" si="232"/>
        <v>0</v>
      </c>
      <c r="AF53" s="160" t="str">
        <f t="shared" si="3"/>
        <v xml:space="preserve">           </v>
      </c>
      <c r="AG53" s="161" t="str">
        <f t="shared" si="233"/>
        <v>0</v>
      </c>
      <c r="AH53" s="160" t="str">
        <f t="shared" si="53"/>
        <v xml:space="preserve">           </v>
      </c>
      <c r="AI53" s="163" t="str">
        <f t="shared" si="234"/>
        <v>0</v>
      </c>
      <c r="AJ53" s="160" t="str">
        <f t="shared" si="5"/>
        <v xml:space="preserve">      </v>
      </c>
      <c r="AK53" s="163" t="str">
        <f t="shared" si="14"/>
        <v/>
      </c>
      <c r="AL53" s="163"/>
      <c r="AM53" s="153"/>
      <c r="AN53" s="153"/>
      <c r="AO53" s="153">
        <f xml:space="preserve"> J53 * MAX( 1, ROUNDUP(IFERROR(K53/J53,0)/35,0) ) * (L53&gt;=0) * (A53&lt;&gt;Tables!$A$414)</f>
        <v>0</v>
      </c>
      <c r="AP53" s="153"/>
      <c r="AQ53">
        <f t="shared" ref="AQ53:AQ59" si="255">BH53+IF( BH53&gt;10, BW53, BU53 )</f>
        <v>5</v>
      </c>
      <c r="AR53" s="68">
        <f xml:space="preserve"> 0*VLOOKUP( $AQ53, Tables!$A$366:$G$384, 2 ) + BB53 + BO53 + CE53 + CJ53</f>
        <v>0</v>
      </c>
      <c r="AS53" s="69">
        <f t="shared" ref="AS53:AS59" si="256" xml:space="preserve"> IF(  BI53&gt;0,  MIN( H53, $S53 - BE53 - BS53 ),  0  )</f>
        <v>0</v>
      </c>
      <c r="AT53" t="s">
        <v>378</v>
      </c>
      <c r="AU53" s="8" t="str">
        <f>VLOOKUP( $AS53, Tables!$A$184:$H$193,  2 )</f>
        <v>Standard</v>
      </c>
      <c r="AV53" s="8" t="str">
        <f>VLOOKUP( $AS53, Tables!$A$184:$H$193,  3 )</f>
        <v>Std</v>
      </c>
      <c r="AW53" s="52">
        <f>VLOOKUP( $AS53, Tables!$A$184:$H$193, 4 )</f>
        <v>0</v>
      </c>
      <c r="AX53" s="8">
        <f>VLOOKUP( $AS53, Tables!$A$184:$H$193,  5 )</f>
        <v>1</v>
      </c>
      <c r="AY53" s="8">
        <f>VLOOKUP( $AS53, Tables!$A$184:$H$193, 6 )</f>
        <v>1</v>
      </c>
      <c r="AZ53" s="8">
        <f>VLOOKUP( $AS53, Tables!$A$184:$H$193, 7 )</f>
        <v>1</v>
      </c>
      <c r="BA53" s="8">
        <f>VLOOKUP( $AS53, Tables!$A$184:$H$193, 8 )</f>
        <v>1</v>
      </c>
      <c r="BB53" s="60">
        <f>VLOOKUP( $AS53, Tables!$A$184:$Q$193, 9 )</f>
        <v>0</v>
      </c>
      <c r="BC53" s="109" t="str">
        <f xml:space="preserve"> VLOOKUP( $AQ53, Tables!$C$366:$H$384, IF($BH53&gt;10,3,6) )</f>
        <v>BR</v>
      </c>
      <c r="BD53" t="s">
        <v>470</v>
      </c>
      <c r="BE53">
        <f>VLOOKUP( $A53, Tables!$A$407:$G$431, 3, 0 )</f>
        <v>15</v>
      </c>
      <c r="BF53">
        <f>VLOOKUP( $A53, Tables!$A$407:$G$431, 4, 0 )</f>
        <v>1</v>
      </c>
      <c r="BG53">
        <f>VLOOKUP( $A53, Tables!$A$407:$G$431, 5, 0 )</f>
        <v>7</v>
      </c>
      <c r="BH53">
        <f>VLOOKUP( $A53, Tables!$A$407:$G$431, 6, 0 )</f>
        <v>12</v>
      </c>
      <c r="BI53">
        <f>VLOOKUP( $A53, Tables!$A$407:$G$431, 7, 0 )</f>
        <v>1</v>
      </c>
      <c r="BJ53" t="str">
        <f>VLOOKUP( $A53, Tables!$A$407:$G$431, 2, 0 )</f>
        <v>W</v>
      </c>
      <c r="BK53" t="s">
        <v>109</v>
      </c>
      <c r="BL53" t="str">
        <f xml:space="preserve"> IF( BI53&gt;0,  VLOOKUP( $C53, Tables!$B$435:$H$447, 3, 0 ),  Tables!$D$435  )</f>
        <v>Surf</v>
      </c>
      <c r="BM53">
        <f>VLOOKUP( $BL53, Tables!$D$435:$H$447, 2, 0 )</f>
        <v>0</v>
      </c>
      <c r="BN53">
        <f>VLOOKUP( $BL53, Tables!$D$435:$H$447, 3, 0 )</f>
        <v>1</v>
      </c>
      <c r="BO53">
        <f>VLOOKUP( $BL53, Tables!$D$435:$H$447, 4, 0 )</f>
        <v>0</v>
      </c>
      <c r="BP53">
        <f>VLOOKUP( $BL53, Tables!$D$435:$H$447, 5, 0 )</f>
        <v>0</v>
      </c>
      <c r="BR53" t="s">
        <v>618</v>
      </c>
      <c r="BS53">
        <f>VLOOKUP( $D53, Tables!$B$388:$J$394, IF( $BH53&lt;10, 2,9), 0 )</f>
        <v>-3</v>
      </c>
      <c r="BT53">
        <f>VLOOKUP( $D53, Tables!$B$388:$I$394, 3, 0 )</f>
        <v>5</v>
      </c>
      <c r="BU53">
        <f>VLOOKUP( $D53, Tables!$B$388:$I$394, 4, 0 )</f>
        <v>-2</v>
      </c>
      <c r="BV53">
        <f>VLOOKUP( $D53, Tables!$B$388:$I$394, 5, 0 )</f>
        <v>0</v>
      </c>
      <c r="BW53">
        <f>VLOOKUP( $D53, Tables!$B$388:$I$394, 6, 0 )</f>
        <v>-7</v>
      </c>
      <c r="BX53" s="85">
        <f>VLOOKUP( $D53, Tables!$B$388:$L$394, IF( $BH53&lt;10, 7, 10 ), 0 )</f>
        <v>0.25</v>
      </c>
      <c r="BY53" s="85">
        <f>VLOOKUP( $D53, Tables!$B$388:$L$394, IF( $BH53&lt;10, 8, 11 ), 0 )</f>
        <v>0.25</v>
      </c>
      <c r="CA53">
        <f xml:space="preserve"> VLOOKUP( $C53, Tables!$B$435:$I$447, 2, 0 )</f>
        <v>3</v>
      </c>
      <c r="CB53">
        <f t="shared" si="240"/>
        <v>0</v>
      </c>
      <c r="CC53">
        <f t="shared" ref="CC53:CC59" si="257">($CB53&gt;0)*2</f>
        <v>0</v>
      </c>
      <c r="CD53">
        <f t="shared" ref="CD53:CD59" si="258">($CB53&gt;0)*1</f>
        <v>0</v>
      </c>
      <c r="CE53">
        <f t="shared" ref="CE53:CE59" si="259">($CB53&gt;0)*3</f>
        <v>0</v>
      </c>
      <c r="CG53">
        <f t="shared" si="241"/>
        <v>0</v>
      </c>
      <c r="CH53">
        <f t="shared" ref="CH53:CH59" si="260">($CG53&gt;0)*2</f>
        <v>0</v>
      </c>
      <c r="CI53">
        <f t="shared" ref="CI53:CI59" si="261">($CG53&gt;0)*3</f>
        <v>0</v>
      </c>
      <c r="CJ53">
        <f t="shared" ref="CJ53:CJ59" si="262">($CG53&gt;0)*0</f>
        <v>0</v>
      </c>
      <c r="CM53">
        <f t="shared" ref="CM53:CM59" si="263">BE53+BS53</f>
        <v>12</v>
      </c>
      <c r="CN53">
        <f t="shared" ref="CN53:CN59" si="264">$S53 - CM53</f>
        <v>0</v>
      </c>
      <c r="CQ53">
        <f>VLOOKUP( $A53, Tables!$A$407:$J$431, 8, 0 )</f>
        <v>1</v>
      </c>
      <c r="CR53">
        <f>VLOOKUP( $A53, Tables!$A$407:$J$431, 9, 0 )</f>
        <v>1</v>
      </c>
      <c r="CS53" t="str">
        <f>VLOOKUP( $A53, Tables!$A$407:$J$431, 10, 0 )</f>
        <v>Grav</v>
      </c>
      <c r="CW53">
        <f t="shared" ref="CW53:CW59" si="265" xml:space="preserve"> J53 * (BP53=0)</f>
        <v>0</v>
      </c>
      <c r="CX53">
        <f t="shared" ref="CX53:CX59" si="266" xml:space="preserve"> J53 * (BP53&gt;0)</f>
        <v>0</v>
      </c>
      <c r="CY53">
        <f t="shared" si="242"/>
        <v>-4</v>
      </c>
      <c r="CZ53">
        <f t="shared" ref="CZ53:CZ59" si="267" xml:space="preserve"> DE$98 - 1*($DD53&gt;10)</f>
        <v>-3</v>
      </c>
      <c r="DA53">
        <f t="shared" ref="DA53:DA59" si="268" xml:space="preserve"> 3 - 1*($DD53&gt;10)</f>
        <v>2</v>
      </c>
      <c r="DB53" t="str">
        <f xml:space="preserve"> IF(  BI53&gt;0,  VLOOKUP( MIN( MAX( CZ53, IF( CY53&lt;0, CY53, 0+CY53*(Military&gt;1) )), DA53 ), RangeEffectTable, 2 ),  Tables!$B$391  )</f>
        <v>Rng-3, TL-3</v>
      </c>
      <c r="DD53">
        <f t="shared" ref="DD53:DD59" si="269" xml:space="preserve"> $BH53</f>
        <v>12</v>
      </c>
      <c r="DE53" t="str">
        <f xml:space="preserve"> IF(  $BI53&gt;0,  VLOOKUP( DE$51 - 1*($DD53&gt;10), RangeEffectTable, 2 ),  Tables!$B$391  )</f>
        <v>Rng-3, TL-3</v>
      </c>
      <c r="DF53" t="str">
        <f xml:space="preserve"> IF(  $BI53&gt;0,  VLOOKUP( DF$51 - 1*($DD53&gt;10), RangeEffectTable, 2 ),  Tables!$B$391  )</f>
        <v>Rng-2, TL-2</v>
      </c>
      <c r="DG53" t="str">
        <f xml:space="preserve"> IF(  $BI53&gt;0,  VLOOKUP( DG$51 - 1*($DD53&gt;10), RangeEffectTable, 2 ),  Tables!$B$391  )</f>
        <v>Rng-1, TL-1</v>
      </c>
      <c r="DH53" t="str">
        <f xml:space="preserve"> IF(  $BI53&gt;0,  VLOOKUP( DH$51 - 1*($DD53&gt;10), RangeEffectTable, 2 ),  Tables!$B$391  )</f>
        <v>Rng±0, TL±0</v>
      </c>
      <c r="DI53" t="str">
        <f xml:space="preserve"> IF(  $BI53&gt;0,  VLOOKUP( DI$51 - 1*($DD53&gt;10), RangeEffectTable, 2 ),  Tables!$B$391  )</f>
        <v>Rng+1, TL+1</v>
      </c>
      <c r="DJ53" t="str">
        <f xml:space="preserve"> IF(  $BI53&gt;0,  VLOOKUP( DJ$51 - 1*($DD53&gt;10), RangeEffectTable, 2 ),  Tables!$B$391  )</f>
        <v>Rng+2, TL+2</v>
      </c>
      <c r="DL53">
        <f ca="1" xml:space="preserve"> IF( $AV53=Tables!$C$189, 5, RANDBETWEEN(1,6)+RANDBETWEEN(1,6)-2 )</f>
        <v>7</v>
      </c>
      <c r="DM53">
        <f ca="1" xml:space="preserve"> IF( $AV53=Tables!$C$189, 0, RANDBETWEEN(1,6)-RANDBETWEEN(1,6)+ VLOOKUP( $AS53, Tables!$A$184:$Q$193,  14 ) )</f>
        <v>1</v>
      </c>
      <c r="DN53">
        <f ca="1" xml:space="preserve"> IF( $AV53=Tables!$C$189, 0, RANDBETWEEN(1,6)-RANDBETWEEN(1,6)+ VLOOKUP( $AS53, Tables!$A$184:$Q$193,  15 ) )</f>
        <v>1</v>
      </c>
      <c r="DO53">
        <f ca="1" xml:space="preserve"> IF( $AV53=Tables!$C$189, 0, RANDBETWEEN(1,6)-RANDBETWEEN(1,6)+ VLOOKUP( $AS53, Tables!$A$184:$Q$193,  16 ) )</f>
        <v>1</v>
      </c>
      <c r="DP53">
        <f ca="1" xml:space="preserve"> IF( $AV53=Tables!$C$189, 0, RANDBETWEEN(1,6)-RANDBETWEEN(1,6)+ VLOOKUP( $AS53, Tables!$A$184:$Q$193,  17 ) )</f>
        <v>-3</v>
      </c>
      <c r="DQ53" s="44" t="str">
        <f ca="1" xml:space="preserve"> VLOOKUP( $DL53,Tables!$B$2:$C$36,2)</f>
        <v>7</v>
      </c>
      <c r="DR53" t="str">
        <f t="shared" ca="1" si="243"/>
        <v xml:space="preserve"> 1</v>
      </c>
      <c r="DS53" t="str">
        <f t="shared" ca="1" si="244"/>
        <v xml:space="preserve"> 1</v>
      </c>
      <c r="DT53" t="str">
        <f t="shared" ca="1" si="245"/>
        <v xml:space="preserve"> 1</v>
      </c>
      <c r="DU53" t="str">
        <f t="shared" ca="1" si="246"/>
        <v>-3</v>
      </c>
      <c r="DW53" s="194">
        <f xml:space="preserve"> SUM( DX$4:DX53, -DX53 )</f>
        <v>0</v>
      </c>
      <c r="DX53" s="194">
        <v>0</v>
      </c>
      <c r="DY53" s="194">
        <f xml:space="preserve"> SUM( DZ$4:DZ53, -DZ53 )</f>
        <v>13</v>
      </c>
      <c r="DZ53" s="194">
        <v>0</v>
      </c>
      <c r="EA53" s="194">
        <f xml:space="preserve"> SUM( EB$4:EB53, -EB53 )</f>
        <v>0</v>
      </c>
      <c r="EB53" s="194">
        <v>0</v>
      </c>
      <c r="EC53" s="194">
        <f xml:space="preserve"> SUM( ED$4:ED53, -ED53 )</f>
        <v>0</v>
      </c>
      <c r="ED53" s="194">
        <v>0</v>
      </c>
      <c r="EE53" s="194">
        <f xml:space="preserve"> SUM( EF$4:EF53, -EF53 )</f>
        <v>0</v>
      </c>
      <c r="EF53" s="194">
        <v>0</v>
      </c>
      <c r="EG53" s="194">
        <f xml:space="preserve"> SUM( EH$4:EH53, -EH53 )</f>
        <v>0</v>
      </c>
      <c r="EH53" s="194">
        <v>0</v>
      </c>
      <c r="EI53" s="194">
        <f xml:space="preserve"> SUM( EJ$4:EJ53, -EJ53 )</f>
        <v>0</v>
      </c>
      <c r="EJ53" s="194">
        <v>0</v>
      </c>
      <c r="EK53" s="194">
        <f xml:space="preserve"> SUM( EL$4:EL53, -EL53 )</f>
        <v>0</v>
      </c>
      <c r="EL53" s="194">
        <v>0</v>
      </c>
      <c r="EM53" s="194">
        <f xml:space="preserve"> SUM( EN$4:EN53, -EN53 )</f>
        <v>0</v>
      </c>
      <c r="EN53" s="194">
        <v>0</v>
      </c>
      <c r="EO53" s="194">
        <f xml:space="preserve"> SUM( EP$4:EP53, -EP53 )</f>
        <v>0</v>
      </c>
      <c r="EP53" s="194">
        <v>0</v>
      </c>
      <c r="EQ53" s="194">
        <f xml:space="preserve"> SUM( ER$4:ER53, -ER53 )</f>
        <v>24</v>
      </c>
      <c r="ER53" s="194">
        <v>0</v>
      </c>
      <c r="ES53" s="194">
        <f xml:space="preserve"> SUM( ET$4:ET53, -ET53 )</f>
        <v>0</v>
      </c>
      <c r="ET53" s="194">
        <v>0</v>
      </c>
      <c r="EU53" s="194">
        <f xml:space="preserve"> SUM( EV$4:EV53, -EV53 )</f>
        <v>10</v>
      </c>
      <c r="EV53" s="194">
        <v>0</v>
      </c>
      <c r="EW53" s="194">
        <f xml:space="preserve"> SUM( EX$4:EX53, -EX53 )</f>
        <v>6</v>
      </c>
      <c r="EX53" s="194">
        <v>0</v>
      </c>
      <c r="EZ53" t="str">
        <f t="shared" si="15"/>
        <v>CommPlus</v>
      </c>
      <c r="FB53" s="237">
        <f xml:space="preserve"> SUM( FC$4:FC53, -FC53 )</f>
        <v>2</v>
      </c>
      <c r="FC53" s="237">
        <f t="shared" ref="FC53:FC59" si="270">CW53</f>
        <v>0</v>
      </c>
      <c r="FD53" s="237">
        <f xml:space="preserve"> SUM( FE$4:FE53, -FE53 )</f>
        <v>1</v>
      </c>
      <c r="FE53" s="237">
        <f t="shared" ref="FE53:FE59" si="271">CX53</f>
        <v>0</v>
      </c>
      <c r="FF53" t="str">
        <f xml:space="preserve"> CONCATENATE( EZ53 &amp; " " &amp; IF(BL53=Tables!$D$438,"",BL53) )</f>
        <v xml:space="preserve">CommPlus </v>
      </c>
    </row>
    <row r="54" spans="1:162">
      <c r="A54" s="63" t="str">
        <f xml:space="preserve"> IF( HullBase&lt;100, Tables!$A$410, IF( $S54&gt;Tables!$C$412, IF( $S54&gt;Tables!$C$413, Tables!$A$413, Tables!$A$412 ), Tables!$A$411 ) )</f>
        <v>Radar</v>
      </c>
      <c r="B54" s="8" t="str">
        <f t="shared" si="247"/>
        <v>Mod</v>
      </c>
      <c r="C54" s="63" t="s">
        <v>990</v>
      </c>
      <c r="D54" s="63" t="str">
        <f xml:space="preserve"> IF( Military&gt;-1, $DB54, Tables!$B$391 )</f>
        <v>Rng±0, TL±0</v>
      </c>
      <c r="E54" s="81"/>
      <c r="F54" s="82">
        <v>0</v>
      </c>
      <c r="G54" s="10">
        <v>1</v>
      </c>
      <c r="H54" s="221">
        <f t="shared" si="235"/>
        <v>2</v>
      </c>
      <c r="I54" s="4">
        <f t="shared" si="248"/>
        <v>11</v>
      </c>
      <c r="J54" s="86">
        <f t="shared" si="249"/>
        <v>1</v>
      </c>
      <c r="K54" s="194">
        <f t="shared" si="250"/>
        <v>0</v>
      </c>
      <c r="L54" s="194">
        <f t="shared" si="251"/>
        <v>1.5</v>
      </c>
      <c r="M54" s="191">
        <f t="shared" si="252"/>
        <v>0</v>
      </c>
      <c r="N54" s="191">
        <f t="shared" si="253"/>
        <v>0</v>
      </c>
      <c r="O54" s="204" t="str">
        <f t="shared" si="236"/>
        <v>S=7</v>
      </c>
      <c r="P54" s="196" t="str">
        <f xml:space="preserve"> IF(  J54&gt;0,  CONCATENATE( IF(AS54&lt;&gt;0,CONCATENATE(AV54," "),""), BC54, " ", BL54, " ", IF(CC54&gt;0,"Ext ",""), IF(CH54&gt;0,"De ",""), LEFT(A54,5), "-", I54, " ", IF(AR54&gt;0,"+",IF(AR54=0,"±","")), AR54, IF(CR54&gt;0,CONCATENATE(" A+",VLOOKUP( $AQ54, Tables!$A$366:$G$384, 2 ))," A--"), " ", IF(CQ54&gt;0,"P",""), IF(CR54&gt;0,"A",""), "(",CS54,")" ), ""  )</f>
        <v>Mod AR Surf Radar-11 +2 A+7 PA(Elec)</v>
      </c>
      <c r="S54" s="223">
        <f t="shared" si="237"/>
        <v>12</v>
      </c>
      <c r="T54" t="str">
        <f t="shared" ca="1" si="238"/>
        <v>4 3 2-4 5</v>
      </c>
      <c r="Z54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</v>
      </c>
      <c r="AA54" s="160" t="str">
        <f t="shared" si="239"/>
        <v xml:space="preserve">
Mod AR Surf Radar-11 +2 A+7 PA            1           0         1,5      </v>
      </c>
      <c r="AB54" s="161" t="str">
        <f t="shared" si="254"/>
        <v>Mod AR Surf Radar-11 +2 A+7 PA</v>
      </c>
      <c r="AC54" s="160" t="str">
        <f t="shared" si="1"/>
        <v xml:space="preserve"> </v>
      </c>
      <c r="AD54" s="160" t="str">
        <f t="shared" si="2"/>
        <v xml:space="preserve">           </v>
      </c>
      <c r="AE54" s="162" t="str">
        <f t="shared" si="232"/>
        <v>1</v>
      </c>
      <c r="AF54" s="160" t="str">
        <f t="shared" si="3"/>
        <v xml:space="preserve">           </v>
      </c>
      <c r="AG54" s="161" t="str">
        <f t="shared" si="233"/>
        <v>0</v>
      </c>
      <c r="AH54" s="160" t="str">
        <f t="shared" si="53"/>
        <v xml:space="preserve">         </v>
      </c>
      <c r="AI54" s="163" t="str">
        <f t="shared" si="234"/>
        <v>1,5</v>
      </c>
      <c r="AJ54" s="160" t="str">
        <f t="shared" si="5"/>
        <v xml:space="preserve">      </v>
      </c>
      <c r="AK54" s="163" t="str">
        <f t="shared" si="14"/>
        <v/>
      </c>
      <c r="AL54" s="163"/>
      <c r="AM54" s="153"/>
      <c r="AN54" s="153"/>
      <c r="AO54" s="153">
        <f xml:space="preserve"> J54 * MAX( 1, ROUNDUP(IFERROR(K54/J54,0)/35,0) ) * (L54&gt;=0) * (A54&lt;&gt;Tables!$A$414)</f>
        <v>1</v>
      </c>
      <c r="AP54" s="153"/>
      <c r="AQ54">
        <f t="shared" si="255"/>
        <v>12</v>
      </c>
      <c r="AR54" s="68">
        <f xml:space="preserve"> 0*VLOOKUP( $AQ54, Tables!$A$366:$G$384, 2 ) + BB54 + BO54 + CE54 + CJ54</f>
        <v>2</v>
      </c>
      <c r="AS54" s="69">
        <f t="shared" si="256"/>
        <v>2</v>
      </c>
      <c r="AT54" t="s">
        <v>378</v>
      </c>
      <c r="AU54" s="8" t="str">
        <f>VLOOKUP( $AS54, Tables!$A$184:$H$193,  2 )</f>
        <v>Modified</v>
      </c>
      <c r="AV54" s="8" t="str">
        <f>VLOOKUP( $AS54, Tables!$A$184:$H$193,  3 )</f>
        <v>Mod</v>
      </c>
      <c r="AW54" s="52">
        <f>VLOOKUP( $AS54, Tables!$A$184:$H$193, 4 )</f>
        <v>2</v>
      </c>
      <c r="AX54" s="8">
        <f>VLOOKUP( $AS54, Tables!$A$184:$H$193,  5 )</f>
        <v>1</v>
      </c>
      <c r="AY54" s="8">
        <f>VLOOKUP( $AS54, Tables!$A$184:$H$193, 6 )</f>
        <v>0.5</v>
      </c>
      <c r="AZ54" s="8">
        <f>VLOOKUP( $AS54, Tables!$A$184:$H$193, 7 )</f>
        <v>1.1000000000000001</v>
      </c>
      <c r="BA54" s="8">
        <f>VLOOKUP( $AS54, Tables!$A$184:$H$193, 8 )</f>
        <v>0.9</v>
      </c>
      <c r="BB54" s="60">
        <f>VLOOKUP( $AS54, Tables!$A$184:$Q$193, 9 )</f>
        <v>2</v>
      </c>
      <c r="BC54" s="109" t="str">
        <f xml:space="preserve"> VLOOKUP( $AQ54, Tables!$C$366:$H$384, IF($BH54&gt;10,3,6) )</f>
        <v>AR</v>
      </c>
      <c r="BD54" t="s">
        <v>470</v>
      </c>
      <c r="BE54">
        <f>VLOOKUP( $A54, Tables!$A$407:$G$431, 3, 0 )</f>
        <v>9</v>
      </c>
      <c r="BF54">
        <f>VLOOKUP( $A54, Tables!$A$407:$G$431, 4, 0 )</f>
        <v>1</v>
      </c>
      <c r="BG54">
        <f>VLOOKUP( $A54, Tables!$A$407:$G$431, 5, 0 )</f>
        <v>7</v>
      </c>
      <c r="BH54">
        <f>VLOOKUP( $A54, Tables!$A$407:$G$431, 6, 0 )</f>
        <v>12</v>
      </c>
      <c r="BI54">
        <f>VLOOKUP( $A54, Tables!$A$407:$G$431, 7, 0 )</f>
        <v>1</v>
      </c>
      <c r="BJ54" t="str">
        <f>VLOOKUP( $A54, Tables!$A$407:$G$431, 2, 0 )</f>
        <v>R</v>
      </c>
      <c r="BK54" t="s">
        <v>109</v>
      </c>
      <c r="BL54" t="str">
        <f xml:space="preserve"> IF( BI54&gt;0,  VLOOKUP( $C54, Tables!$B$435:$H$447, 3, 0 ),  Tables!$D$435  )</f>
        <v>Surf</v>
      </c>
      <c r="BM54">
        <f>VLOOKUP( $BL54, Tables!$D$435:$H$447, 2, 0 )</f>
        <v>0</v>
      </c>
      <c r="BN54">
        <f>VLOOKUP( $BL54, Tables!$D$435:$H$447, 3, 0 )</f>
        <v>1</v>
      </c>
      <c r="BO54">
        <f>VLOOKUP( $BL54, Tables!$D$435:$H$447, 4, 0 )</f>
        <v>0</v>
      </c>
      <c r="BP54">
        <f>VLOOKUP( $BL54, Tables!$D$435:$H$447, 5, 0 )</f>
        <v>0</v>
      </c>
      <c r="BR54" t="s">
        <v>618</v>
      </c>
      <c r="BS54">
        <f>VLOOKUP( $D54, Tables!$B$388:$J$394, IF( $BH54&lt;10, 2,9), 0 )</f>
        <v>0</v>
      </c>
      <c r="BT54">
        <f>VLOOKUP( $D54, Tables!$B$388:$I$394, 3, 0 )</f>
        <v>7</v>
      </c>
      <c r="BU54">
        <f>VLOOKUP( $D54, Tables!$B$388:$I$394, 4, 0 )</f>
        <v>0</v>
      </c>
      <c r="BV54">
        <f>VLOOKUP( $D54, Tables!$B$388:$I$394, 5, 0 )</f>
        <v>7</v>
      </c>
      <c r="BW54">
        <f>VLOOKUP( $D54, Tables!$B$388:$I$394, 6, 0 )</f>
        <v>0</v>
      </c>
      <c r="BX54" s="85">
        <f>VLOOKUP( $D54, Tables!$B$388:$L$394, IF( $BH54&lt;10, 7, 10 ), 0 )</f>
        <v>1</v>
      </c>
      <c r="BY54" s="85">
        <f>VLOOKUP( $D54, Tables!$B$388:$L$394, IF( $BH54&lt;10, 8, 11 ), 0 )</f>
        <v>1</v>
      </c>
      <c r="CA54">
        <f xml:space="preserve"> VLOOKUP( $C54, Tables!$B$435:$I$447, 2, 0 )</f>
        <v>3</v>
      </c>
      <c r="CB54">
        <f t="shared" si="240"/>
        <v>0</v>
      </c>
      <c r="CC54">
        <f t="shared" si="257"/>
        <v>0</v>
      </c>
      <c r="CD54">
        <f t="shared" si="258"/>
        <v>0</v>
      </c>
      <c r="CE54">
        <f t="shared" si="259"/>
        <v>0</v>
      </c>
      <c r="CG54">
        <f t="shared" si="241"/>
        <v>0</v>
      </c>
      <c r="CH54">
        <f t="shared" si="260"/>
        <v>0</v>
      </c>
      <c r="CI54">
        <f t="shared" si="261"/>
        <v>0</v>
      </c>
      <c r="CJ54">
        <f t="shared" si="262"/>
        <v>0</v>
      </c>
      <c r="CM54">
        <f t="shared" si="263"/>
        <v>9</v>
      </c>
      <c r="CN54">
        <f t="shared" si="264"/>
        <v>3</v>
      </c>
      <c r="CQ54">
        <f>VLOOKUP( $A54, Tables!$A$407:$J$431, 8, 0 )</f>
        <v>1</v>
      </c>
      <c r="CR54">
        <f>VLOOKUP( $A54, Tables!$A$407:$J$431, 9, 0 )</f>
        <v>1</v>
      </c>
      <c r="CS54" t="str">
        <f>VLOOKUP( $A54, Tables!$A$407:$J$431, 10, 0 )</f>
        <v>Elec</v>
      </c>
      <c r="CW54">
        <f t="shared" si="265"/>
        <v>1</v>
      </c>
      <c r="CX54">
        <f t="shared" si="266"/>
        <v>0</v>
      </c>
      <c r="CY54">
        <f t="shared" si="242"/>
        <v>2</v>
      </c>
      <c r="CZ54">
        <f t="shared" si="267"/>
        <v>-3</v>
      </c>
      <c r="DA54">
        <f t="shared" si="268"/>
        <v>2</v>
      </c>
      <c r="DB54" t="str">
        <f xml:space="preserve"> IF(  BI54&gt;0,  VLOOKUP( MIN( MAX( CZ54, IF( CY54&lt;0, CY54, 0+CY54*(Military&gt;1) )), DA54 ), RangeEffectTable, 2 ),  Tables!$B$391  )</f>
        <v>Rng±0, TL±0</v>
      </c>
      <c r="DD54">
        <f t="shared" si="269"/>
        <v>12</v>
      </c>
      <c r="DE54" t="str">
        <f xml:space="preserve"> IF(  $BI54&gt;0,  VLOOKUP( DE$51 - 1*($DD54&gt;10), RangeEffectTable, 2 ),  Tables!$B$391  )</f>
        <v>Rng-3, TL-3</v>
      </c>
      <c r="DF54" t="str">
        <f xml:space="preserve"> IF(  $BI54&gt;0,  VLOOKUP( DF$51 - 1*($DD54&gt;10), RangeEffectTable, 2 ),  Tables!$B$391  )</f>
        <v>Rng-2, TL-2</v>
      </c>
      <c r="DG54" t="str">
        <f xml:space="preserve"> IF(  $BI54&gt;0,  VLOOKUP( DG$51 - 1*($DD54&gt;10), RangeEffectTable, 2 ),  Tables!$B$391  )</f>
        <v>Rng-1, TL-1</v>
      </c>
      <c r="DH54" t="str">
        <f xml:space="preserve"> IF(  $BI54&gt;0,  VLOOKUP( DH$51 - 1*($DD54&gt;10), RangeEffectTable, 2 ),  Tables!$B$391  )</f>
        <v>Rng±0, TL±0</v>
      </c>
      <c r="DI54" t="str">
        <f xml:space="preserve"> IF(  $BI54&gt;0,  VLOOKUP( DI$51 - 1*($DD54&gt;10), RangeEffectTable, 2 ),  Tables!$B$391  )</f>
        <v>Rng+1, TL+1</v>
      </c>
      <c r="DJ54" t="str">
        <f xml:space="preserve"> IF(  $BI54&gt;0,  VLOOKUP( DJ$51 - 1*($DD54&gt;10), RangeEffectTable, 2 ),  Tables!$B$391  )</f>
        <v>Rng+2, TL+2</v>
      </c>
      <c r="DL54">
        <f ca="1" xml:space="preserve"> IF( $AV54=Tables!$C$189, 5, RANDBETWEEN(1,6)+RANDBETWEEN(1,6)-2 )</f>
        <v>4</v>
      </c>
      <c r="DM54">
        <f ca="1" xml:space="preserve"> IF( $AV54=Tables!$C$189, 0, RANDBETWEEN(1,6)-RANDBETWEEN(1,6)+ VLOOKUP( $AS54, Tables!$A$184:$Q$193,  14 ) )</f>
        <v>3</v>
      </c>
      <c r="DN54">
        <f ca="1" xml:space="preserve"> IF( $AV54=Tables!$C$189, 0, RANDBETWEEN(1,6)-RANDBETWEEN(1,6)+ VLOOKUP( $AS54, Tables!$A$184:$Q$193,  15 ) )</f>
        <v>2</v>
      </c>
      <c r="DO54">
        <f ca="1" xml:space="preserve"> IF( $AV54=Tables!$C$189, 0, RANDBETWEEN(1,6)-RANDBETWEEN(1,6)+ VLOOKUP( $AS54, Tables!$A$184:$Q$193,  16 ) )</f>
        <v>-4</v>
      </c>
      <c r="DP54">
        <f ca="1" xml:space="preserve"> IF( $AV54=Tables!$C$189, 0, RANDBETWEEN(1,6)-RANDBETWEEN(1,6)+ VLOOKUP( $AS54, Tables!$A$184:$Q$193,  17 ) )</f>
        <v>5</v>
      </c>
      <c r="DQ54" s="44" t="str">
        <f ca="1" xml:space="preserve"> VLOOKUP( $DL54,Tables!$B$2:$C$36,2)</f>
        <v>4</v>
      </c>
      <c r="DR54" t="str">
        <f t="shared" ca="1" si="243"/>
        <v xml:space="preserve"> 3</v>
      </c>
      <c r="DS54" t="str">
        <f t="shared" ca="1" si="244"/>
        <v xml:space="preserve"> 2</v>
      </c>
      <c r="DT54" t="str">
        <f t="shared" ca="1" si="245"/>
        <v>-4</v>
      </c>
      <c r="DU54" t="str">
        <f t="shared" ca="1" si="246"/>
        <v xml:space="preserve"> 5</v>
      </c>
      <c r="DW54" s="194">
        <f xml:space="preserve"> SUM( DX$4:DX54, -DX54 )</f>
        <v>0</v>
      </c>
      <c r="DX54" s="194">
        <v>0</v>
      </c>
      <c r="DY54" s="194">
        <f xml:space="preserve"> SUM( DZ$4:DZ54, -DZ54 )</f>
        <v>13</v>
      </c>
      <c r="DZ54" s="194">
        <v>0</v>
      </c>
      <c r="EA54" s="194">
        <f xml:space="preserve"> SUM( EB$4:EB54, -EB54 )</f>
        <v>0</v>
      </c>
      <c r="EB54" s="194">
        <v>0</v>
      </c>
      <c r="EC54" s="194">
        <f xml:space="preserve"> SUM( ED$4:ED54, -ED54 )</f>
        <v>0</v>
      </c>
      <c r="ED54" s="194">
        <v>0</v>
      </c>
      <c r="EE54" s="194">
        <f xml:space="preserve"> SUM( EF$4:EF54, -EF54 )</f>
        <v>0</v>
      </c>
      <c r="EF54" s="194">
        <v>0</v>
      </c>
      <c r="EG54" s="194">
        <f xml:space="preserve"> SUM( EH$4:EH54, -EH54 )</f>
        <v>0</v>
      </c>
      <c r="EH54" s="194">
        <v>0</v>
      </c>
      <c r="EI54" s="194">
        <f xml:space="preserve"> SUM( EJ$4:EJ54, -EJ54 )</f>
        <v>0</v>
      </c>
      <c r="EJ54" s="194">
        <v>0</v>
      </c>
      <c r="EK54" s="194">
        <f xml:space="preserve"> SUM( EL$4:EL54, -EL54 )</f>
        <v>0</v>
      </c>
      <c r="EL54" s="194">
        <v>0</v>
      </c>
      <c r="EM54" s="194">
        <f xml:space="preserve"> SUM( EN$4:EN54, -EN54 )</f>
        <v>0</v>
      </c>
      <c r="EN54" s="194">
        <v>0</v>
      </c>
      <c r="EO54" s="194">
        <f xml:space="preserve"> SUM( EP$4:EP54, -EP54 )</f>
        <v>0</v>
      </c>
      <c r="EP54" s="194">
        <v>0</v>
      </c>
      <c r="EQ54" s="194">
        <f xml:space="preserve"> SUM( ER$4:ER54, -ER54 )</f>
        <v>24</v>
      </c>
      <c r="ER54" s="194">
        <v>0</v>
      </c>
      <c r="ES54" s="194">
        <f xml:space="preserve"> SUM( ET$4:ET54, -ET54 )</f>
        <v>0</v>
      </c>
      <c r="ET54" s="194">
        <v>0</v>
      </c>
      <c r="EU54" s="194">
        <f xml:space="preserve"> SUM( EV$4:EV54, -EV54 )</f>
        <v>10</v>
      </c>
      <c r="EV54" s="194">
        <v>0</v>
      </c>
      <c r="EW54" s="194">
        <f xml:space="preserve"> SUM( EX$4:EX54, -EX54 )</f>
        <v>6</v>
      </c>
      <c r="EX54" s="194">
        <v>0</v>
      </c>
      <c r="EZ54" t="str">
        <f t="shared" si="15"/>
        <v>Radar</v>
      </c>
      <c r="FB54" s="237">
        <f xml:space="preserve"> SUM( FC$4:FC54, -FC54 )</f>
        <v>2</v>
      </c>
      <c r="FC54" s="237">
        <f t="shared" si="270"/>
        <v>1</v>
      </c>
      <c r="FD54" s="237">
        <f xml:space="preserve"> SUM( FE$4:FE54, -FE54 )</f>
        <v>1</v>
      </c>
      <c r="FE54" s="237">
        <f t="shared" si="271"/>
        <v>0</v>
      </c>
      <c r="FF54" t="str">
        <f xml:space="preserve"> CONCATENATE( EZ54 &amp; " " &amp; IF(BL54=Tables!$D$438,"",BL54) )</f>
        <v xml:space="preserve">Radar </v>
      </c>
    </row>
    <row r="55" spans="1:162">
      <c r="A55" s="63" t="str">
        <f xml:space="preserve"> IF( Hull&lt;100, Tables!A414, IF( $S55&gt;Tables!$C$416, IF( $S55&gt;Tables!$C$417, Tables!$A$417, Tables!$A$416 ), Tables!$A$415 ) )</f>
        <v>Scope</v>
      </c>
      <c r="B55" s="8" t="str">
        <f t="shared" si="247"/>
        <v>Mod</v>
      </c>
      <c r="C55" s="63" t="s">
        <v>990</v>
      </c>
      <c r="D55" s="63" t="str">
        <f xml:space="preserve"> IF( Military&gt;-1, $DB55, Tables!$B$391 )</f>
        <v>Rng±0, TL±0</v>
      </c>
      <c r="E55" s="81">
        <v>0</v>
      </c>
      <c r="F55" s="82">
        <v>0</v>
      </c>
      <c r="G55" s="10">
        <v>1</v>
      </c>
      <c r="H55" s="221">
        <f t="shared" si="235"/>
        <v>2</v>
      </c>
      <c r="I55" s="4">
        <f t="shared" si="248"/>
        <v>11</v>
      </c>
      <c r="J55" s="86">
        <f t="shared" si="249"/>
        <v>1</v>
      </c>
      <c r="K55" s="194">
        <f t="shared" si="250"/>
        <v>0</v>
      </c>
      <c r="L55" s="194">
        <f t="shared" si="251"/>
        <v>1.5</v>
      </c>
      <c r="M55" s="191">
        <f t="shared" si="252"/>
        <v>0</v>
      </c>
      <c r="N55" s="191">
        <f t="shared" si="253"/>
        <v>0</v>
      </c>
      <c r="O55" s="204" t="str">
        <f t="shared" si="236"/>
        <v>S=7</v>
      </c>
      <c r="P55" s="196" t="str">
        <f xml:space="preserve"> IF(  J55&gt;0,  CONCATENATE( IF(AS55&lt;&gt;0,CONCATENATE(AV55," "),""), BC55, " ", BL55, " ", IF(CC55&gt;0,"Ext ",""), IF(CH55&gt;0,"De ",""), LEFT(A55,5), "-", I55, " ", IF(AR55&gt;0,"+",IF(AR55=0,"±","")), AR55, IF(CR55&gt;0,CONCATENATE(" A+",VLOOKUP( $AQ55, Tables!$A$366:$G$384, 2 ))," A--"), " ", IF(CQ55&gt;0,"P",""), IF(CR55&gt;0,"A",""), "(",CS55,")" ), ""  )</f>
        <v>Mod AR Surf Scope-11 +2 A-- P(Phot)</v>
      </c>
      <c r="S55" s="223">
        <f t="shared" si="237"/>
        <v>12</v>
      </c>
      <c r="T55" t="str">
        <f t="shared" ca="1" si="238"/>
        <v>4 3 5 3 1</v>
      </c>
      <c r="Z55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</v>
      </c>
      <c r="AA55" s="160" t="str">
        <f t="shared" si="239"/>
        <v xml:space="preserve">
Mod AR Surf Scope-11 +2 A-- P(            1           0         1,5      </v>
      </c>
      <c r="AB55" s="161" t="str">
        <f t="shared" si="254"/>
        <v>Mod AR Surf Scope-11 +2 A-- P(</v>
      </c>
      <c r="AC55" s="160" t="str">
        <f t="shared" si="1"/>
        <v xml:space="preserve"> </v>
      </c>
      <c r="AD55" s="160" t="str">
        <f t="shared" si="2"/>
        <v xml:space="preserve">           </v>
      </c>
      <c r="AE55" s="162" t="str">
        <f t="shared" si="232"/>
        <v>1</v>
      </c>
      <c r="AF55" s="160" t="str">
        <f t="shared" si="3"/>
        <v xml:space="preserve">           </v>
      </c>
      <c r="AG55" s="161" t="str">
        <f t="shared" si="233"/>
        <v>0</v>
      </c>
      <c r="AH55" s="160" t="str">
        <f t="shared" si="53"/>
        <v xml:space="preserve">         </v>
      </c>
      <c r="AI55" s="163" t="str">
        <f t="shared" si="234"/>
        <v>1,5</v>
      </c>
      <c r="AJ55" s="160" t="str">
        <f t="shared" si="5"/>
        <v xml:space="preserve">      </v>
      </c>
      <c r="AK55" s="163" t="str">
        <f t="shared" si="14"/>
        <v/>
      </c>
      <c r="AL55" s="163"/>
      <c r="AM55" s="153"/>
      <c r="AN55" s="153"/>
      <c r="AO55" s="153">
        <f xml:space="preserve"> J55 * MAX( 1, ROUNDUP(IFERROR(K55/J55,0)/35,0) ) * (L55&gt;=0) * (A55&lt;&gt;Tables!$A$414)</f>
        <v>1</v>
      </c>
      <c r="AP55" s="153"/>
      <c r="AQ55">
        <f t="shared" si="255"/>
        <v>12</v>
      </c>
      <c r="AR55" s="68">
        <f xml:space="preserve"> 0*VLOOKUP( $AQ55, Tables!$A$366:$G$384, 2 ) + BB55 + BO55 + CE55 + CJ55</f>
        <v>2</v>
      </c>
      <c r="AS55" s="69">
        <f t="shared" si="256"/>
        <v>2</v>
      </c>
      <c r="AT55" t="s">
        <v>378</v>
      </c>
      <c r="AU55" s="8" t="str">
        <f>VLOOKUP( $AS55, Tables!$A$184:$H$193,  2 )</f>
        <v>Modified</v>
      </c>
      <c r="AV55" s="8" t="str">
        <f>VLOOKUP( $AS55, Tables!$A$184:$H$193,  3 )</f>
        <v>Mod</v>
      </c>
      <c r="AW55" s="52">
        <f>VLOOKUP( $AS55, Tables!$A$184:$H$193, 4 )</f>
        <v>2</v>
      </c>
      <c r="AX55" s="8">
        <f>VLOOKUP( $AS55, Tables!$A$184:$H$193,  5 )</f>
        <v>1</v>
      </c>
      <c r="AY55" s="8">
        <f>VLOOKUP( $AS55, Tables!$A$184:$H$193, 6 )</f>
        <v>0.5</v>
      </c>
      <c r="AZ55" s="8">
        <f>VLOOKUP( $AS55, Tables!$A$184:$H$193, 7 )</f>
        <v>1.1000000000000001</v>
      </c>
      <c r="BA55" s="8">
        <f>VLOOKUP( $AS55, Tables!$A$184:$H$193, 8 )</f>
        <v>0.9</v>
      </c>
      <c r="BB55" s="60">
        <f>VLOOKUP( $AS55, Tables!$A$184:$Q$193, 9 )</f>
        <v>2</v>
      </c>
      <c r="BC55" s="109" t="str">
        <f xml:space="preserve"> VLOOKUP( $AQ55, Tables!$C$366:$H$384, IF($BH55&gt;10,3,6) )</f>
        <v>AR</v>
      </c>
      <c r="BD55" t="s">
        <v>470</v>
      </c>
      <c r="BE55">
        <f>VLOOKUP( $A55, Tables!$A$407:$G$431, 3, 0 )</f>
        <v>9</v>
      </c>
      <c r="BF55">
        <f>VLOOKUP( $A55, Tables!$A$407:$G$431, 4, 0 )</f>
        <v>1</v>
      </c>
      <c r="BG55">
        <f>VLOOKUP( $A55, Tables!$A$407:$G$431, 5, 0 )</f>
        <v>7</v>
      </c>
      <c r="BH55">
        <f>VLOOKUP( $A55, Tables!$A$407:$G$431, 6, 0 )</f>
        <v>12</v>
      </c>
      <c r="BI55">
        <f>VLOOKUP( $A55, Tables!$A$407:$G$431, 7, 0 )</f>
        <v>1</v>
      </c>
      <c r="BJ55" t="str">
        <f>VLOOKUP( $A55, Tables!$A$407:$G$431, 2, 0 )</f>
        <v>T</v>
      </c>
      <c r="BK55" t="s">
        <v>109</v>
      </c>
      <c r="BL55" t="str">
        <f xml:space="preserve"> IF( BI55&gt;0,  VLOOKUP( $C55, Tables!$B$435:$H$447, 3, 0 ),  Tables!$D$435  )</f>
        <v>Surf</v>
      </c>
      <c r="BM55">
        <f>VLOOKUP( $BL55, Tables!$D$435:$H$447, 2, 0 )</f>
        <v>0</v>
      </c>
      <c r="BN55">
        <f>VLOOKUP( $BL55, Tables!$D$435:$H$447, 3, 0 )</f>
        <v>1</v>
      </c>
      <c r="BO55">
        <f>VLOOKUP( $BL55, Tables!$D$435:$H$447, 4, 0 )</f>
        <v>0</v>
      </c>
      <c r="BP55">
        <f>VLOOKUP( $BL55, Tables!$D$435:$H$447, 5, 0 )</f>
        <v>0</v>
      </c>
      <c r="BR55" t="s">
        <v>618</v>
      </c>
      <c r="BS55">
        <f>VLOOKUP( $D55, Tables!$B$388:$J$394, IF( $BH55&lt;10, 2,9), 0 )</f>
        <v>0</v>
      </c>
      <c r="BT55">
        <f>VLOOKUP( $D55, Tables!$B$388:$I$394, 3, 0 )</f>
        <v>7</v>
      </c>
      <c r="BU55">
        <f>VLOOKUP( $D55, Tables!$B$388:$I$394, 4, 0 )</f>
        <v>0</v>
      </c>
      <c r="BV55">
        <f>VLOOKUP( $D55, Tables!$B$388:$I$394, 5, 0 )</f>
        <v>7</v>
      </c>
      <c r="BW55">
        <f>VLOOKUP( $D55, Tables!$B$388:$I$394, 6, 0 )</f>
        <v>0</v>
      </c>
      <c r="BX55" s="85">
        <f>VLOOKUP( $D55, Tables!$B$388:$L$394, IF( $BH55&lt;10, 7, 10 ), 0 )</f>
        <v>1</v>
      </c>
      <c r="BY55" s="85">
        <f>VLOOKUP( $D55, Tables!$B$388:$L$394, IF( $BH55&lt;10, 8, 11 ), 0 )</f>
        <v>1</v>
      </c>
      <c r="CA55">
        <f xml:space="preserve"> VLOOKUP( $C55, Tables!$B$435:$I$447, 2, 0 )</f>
        <v>3</v>
      </c>
      <c r="CB55">
        <f t="shared" si="240"/>
        <v>0</v>
      </c>
      <c r="CC55">
        <f t="shared" si="257"/>
        <v>0</v>
      </c>
      <c r="CD55">
        <f t="shared" si="258"/>
        <v>0</v>
      </c>
      <c r="CE55">
        <f t="shared" si="259"/>
        <v>0</v>
      </c>
      <c r="CG55">
        <f t="shared" si="241"/>
        <v>0</v>
      </c>
      <c r="CH55">
        <f t="shared" si="260"/>
        <v>0</v>
      </c>
      <c r="CI55">
        <f t="shared" si="261"/>
        <v>0</v>
      </c>
      <c r="CJ55">
        <f t="shared" si="262"/>
        <v>0</v>
      </c>
      <c r="CM55">
        <f t="shared" si="263"/>
        <v>9</v>
      </c>
      <c r="CN55">
        <f t="shared" si="264"/>
        <v>3</v>
      </c>
      <c r="CQ55">
        <f>VLOOKUP( $A55, Tables!$A$407:$J$431, 8, 0 )</f>
        <v>1</v>
      </c>
      <c r="CR55">
        <f>VLOOKUP( $A55, Tables!$A$407:$J$431, 9, 0 )</f>
        <v>0</v>
      </c>
      <c r="CS55" t="str">
        <f>VLOOKUP( $A55, Tables!$A$407:$J$431, 10, 0 )</f>
        <v>Phot</v>
      </c>
      <c r="CW55">
        <f t="shared" si="265"/>
        <v>1</v>
      </c>
      <c r="CX55">
        <f t="shared" si="266"/>
        <v>0</v>
      </c>
      <c r="CY55">
        <f t="shared" si="242"/>
        <v>2</v>
      </c>
      <c r="CZ55">
        <f t="shared" si="267"/>
        <v>-3</v>
      </c>
      <c r="DA55">
        <f t="shared" si="268"/>
        <v>2</v>
      </c>
      <c r="DB55" t="str">
        <f xml:space="preserve"> IF(  BI55&gt;0,  VLOOKUP( MIN( MAX( CZ55, IF( CY55&lt;0, CY55, 0+CY55*(Military&gt;1) )), DA55 ), RangeEffectTable, 2 ),  Tables!$B$391  )</f>
        <v>Rng±0, TL±0</v>
      </c>
      <c r="DD55">
        <f t="shared" si="269"/>
        <v>12</v>
      </c>
      <c r="DE55" t="str">
        <f xml:space="preserve"> IF(  $BI55&gt;0,  VLOOKUP( DE$51 - 1*($DD55&gt;10), RangeEffectTable, 2 ),  Tables!$B$391  )</f>
        <v>Rng-3, TL-3</v>
      </c>
      <c r="DF55" t="str">
        <f xml:space="preserve"> IF(  $BI55&gt;0,  VLOOKUP( DF$51 - 1*($DD55&gt;10), RangeEffectTable, 2 ),  Tables!$B$391  )</f>
        <v>Rng-2, TL-2</v>
      </c>
      <c r="DG55" t="str">
        <f xml:space="preserve"> IF(  $BI55&gt;0,  VLOOKUP( DG$51 - 1*($DD55&gt;10), RangeEffectTable, 2 ),  Tables!$B$391  )</f>
        <v>Rng-1, TL-1</v>
      </c>
      <c r="DH55" t="str">
        <f xml:space="preserve"> IF(  $BI55&gt;0,  VLOOKUP( DH$51 - 1*($DD55&gt;10), RangeEffectTable, 2 ),  Tables!$B$391  )</f>
        <v>Rng±0, TL±0</v>
      </c>
      <c r="DI55" t="str">
        <f xml:space="preserve"> IF(  $BI55&gt;0,  VLOOKUP( DI$51 - 1*($DD55&gt;10), RangeEffectTable, 2 ),  Tables!$B$391  )</f>
        <v>Rng+1, TL+1</v>
      </c>
      <c r="DJ55" t="str">
        <f xml:space="preserve"> IF(  $BI55&gt;0,  VLOOKUP( DJ$51 - 1*($DD55&gt;10), RangeEffectTable, 2 ),  Tables!$B$391  )</f>
        <v>Rng+2, TL+2</v>
      </c>
      <c r="DL55">
        <f ca="1" xml:space="preserve"> IF( $AV55=Tables!$C$189, 5, RANDBETWEEN(1,6)+RANDBETWEEN(1,6)-2 )</f>
        <v>4</v>
      </c>
      <c r="DM55">
        <f ca="1" xml:space="preserve"> IF( $AV55=Tables!$C$189, 0, RANDBETWEEN(1,6)-RANDBETWEEN(1,6)+ VLOOKUP( $AS55, Tables!$A$184:$Q$193,  14 ) )</f>
        <v>3</v>
      </c>
      <c r="DN55">
        <f ca="1" xml:space="preserve"> IF( $AV55=Tables!$C$189, 0, RANDBETWEEN(1,6)-RANDBETWEEN(1,6)+ VLOOKUP( $AS55, Tables!$A$184:$Q$193,  15 ) )</f>
        <v>5</v>
      </c>
      <c r="DO55">
        <f ca="1" xml:space="preserve"> IF( $AV55=Tables!$C$189, 0, RANDBETWEEN(1,6)-RANDBETWEEN(1,6)+ VLOOKUP( $AS55, Tables!$A$184:$Q$193,  16 ) )</f>
        <v>3</v>
      </c>
      <c r="DP55">
        <f ca="1" xml:space="preserve"> IF( $AV55=Tables!$C$189, 0, RANDBETWEEN(1,6)-RANDBETWEEN(1,6)+ VLOOKUP( $AS55, Tables!$A$184:$Q$193,  17 ) )</f>
        <v>1</v>
      </c>
      <c r="DQ55" s="44" t="str">
        <f ca="1" xml:space="preserve"> VLOOKUP( $DL55,Tables!$B$2:$C$36,2)</f>
        <v>4</v>
      </c>
      <c r="DR55" t="str">
        <f t="shared" ca="1" si="243"/>
        <v xml:space="preserve"> 3</v>
      </c>
      <c r="DS55" t="str">
        <f t="shared" ca="1" si="244"/>
        <v xml:space="preserve"> 5</v>
      </c>
      <c r="DT55" t="str">
        <f t="shared" ca="1" si="245"/>
        <v xml:space="preserve"> 3</v>
      </c>
      <c r="DU55" t="str">
        <f t="shared" ca="1" si="246"/>
        <v xml:space="preserve"> 1</v>
      </c>
      <c r="DW55" s="194">
        <f xml:space="preserve"> SUM( DX$4:DX55, -DX55 )</f>
        <v>0</v>
      </c>
      <c r="DX55" s="194">
        <v>0</v>
      </c>
      <c r="DY55" s="194">
        <f xml:space="preserve"> SUM( DZ$4:DZ55, -DZ55 )</f>
        <v>13</v>
      </c>
      <c r="DZ55" s="194">
        <v>0</v>
      </c>
      <c r="EA55" s="194">
        <f xml:space="preserve"> SUM( EB$4:EB55, -EB55 )</f>
        <v>0</v>
      </c>
      <c r="EB55" s="194">
        <v>0</v>
      </c>
      <c r="EC55" s="194">
        <f xml:space="preserve"> SUM( ED$4:ED55, -ED55 )</f>
        <v>0</v>
      </c>
      <c r="ED55" s="194">
        <v>0</v>
      </c>
      <c r="EE55" s="194">
        <f xml:space="preserve"> SUM( EF$4:EF55, -EF55 )</f>
        <v>0</v>
      </c>
      <c r="EF55" s="194">
        <v>0</v>
      </c>
      <c r="EG55" s="194">
        <f xml:space="preserve"> SUM( EH$4:EH55, -EH55 )</f>
        <v>0</v>
      </c>
      <c r="EH55" s="194">
        <v>0</v>
      </c>
      <c r="EI55" s="194">
        <f xml:space="preserve"> SUM( EJ$4:EJ55, -EJ55 )</f>
        <v>0</v>
      </c>
      <c r="EJ55" s="194">
        <v>0</v>
      </c>
      <c r="EK55" s="194">
        <f xml:space="preserve"> SUM( EL$4:EL55, -EL55 )</f>
        <v>0</v>
      </c>
      <c r="EL55" s="194">
        <v>0</v>
      </c>
      <c r="EM55" s="194">
        <f xml:space="preserve"> SUM( EN$4:EN55, -EN55 )</f>
        <v>0</v>
      </c>
      <c r="EN55" s="194">
        <v>0</v>
      </c>
      <c r="EO55" s="194">
        <f xml:space="preserve"> SUM( EP$4:EP55, -EP55 )</f>
        <v>0</v>
      </c>
      <c r="EP55" s="194">
        <v>0</v>
      </c>
      <c r="EQ55" s="194">
        <f xml:space="preserve"> SUM( ER$4:ER55, -ER55 )</f>
        <v>24</v>
      </c>
      <c r="ER55" s="194">
        <v>0</v>
      </c>
      <c r="ES55" s="194">
        <f xml:space="preserve"> SUM( ET$4:ET55, -ET55 )</f>
        <v>0</v>
      </c>
      <c r="ET55" s="194">
        <v>0</v>
      </c>
      <c r="EU55" s="194">
        <f xml:space="preserve"> SUM( EV$4:EV55, -EV55 )</f>
        <v>10</v>
      </c>
      <c r="EV55" s="194">
        <v>0</v>
      </c>
      <c r="EW55" s="194">
        <f xml:space="preserve"> SUM( EX$4:EX55, -EX55 )</f>
        <v>6</v>
      </c>
      <c r="EX55" s="194">
        <v>0</v>
      </c>
      <c r="EZ55" t="str">
        <f t="shared" si="15"/>
        <v>Scope</v>
      </c>
      <c r="FB55" s="237">
        <f xml:space="preserve"> SUM( FC$4:FC55, -FC55 )</f>
        <v>3</v>
      </c>
      <c r="FC55" s="237">
        <f t="shared" si="270"/>
        <v>1</v>
      </c>
      <c r="FD55" s="237">
        <f xml:space="preserve"> SUM( FE$4:FE55, -FE55 )</f>
        <v>1</v>
      </c>
      <c r="FE55" s="237">
        <f t="shared" si="271"/>
        <v>0</v>
      </c>
      <c r="FF55" t="str">
        <f xml:space="preserve"> CONCATENATE( EZ55 &amp; " " &amp; IF(BL55=Tables!$D$438,"",BL55) )</f>
        <v xml:space="preserve">Scope </v>
      </c>
    </row>
    <row r="56" spans="1:162">
      <c r="A56" s="63" t="s">
        <v>84</v>
      </c>
      <c r="B56" s="8" t="str">
        <f t="shared" si="247"/>
        <v>Std</v>
      </c>
      <c r="C56" s="63" t="s">
        <v>990</v>
      </c>
      <c r="D56" s="63" t="str">
        <f xml:space="preserve"> IF( Military&gt;-1, $DB56, Tables!$B$391 )</f>
        <v>Rng±0, TL±0</v>
      </c>
      <c r="E56" s="81">
        <v>0</v>
      </c>
      <c r="F56" s="82">
        <v>0</v>
      </c>
      <c r="G56" s="10">
        <f xml:space="preserve"> 1 * (Military&gt;1)</f>
        <v>0</v>
      </c>
      <c r="H56" s="221">
        <f t="shared" si="235"/>
        <v>0</v>
      </c>
      <c r="I56" s="4">
        <f t="shared" si="248"/>
        <v>10</v>
      </c>
      <c r="J56" s="86">
        <f t="shared" si="249"/>
        <v>0</v>
      </c>
      <c r="K56" s="194">
        <f t="shared" si="250"/>
        <v>0</v>
      </c>
      <c r="L56" s="194">
        <f t="shared" si="251"/>
        <v>0</v>
      </c>
      <c r="M56" s="191">
        <f t="shared" si="252"/>
        <v>0</v>
      </c>
      <c r="N56" s="191">
        <f t="shared" si="253"/>
        <v>0</v>
      </c>
      <c r="O56" s="204" t="str">
        <f t="shared" si="236"/>
        <v/>
      </c>
      <c r="P56" s="196" t="str">
        <f xml:space="preserve"> IF(  J56&gt;0,  CONCATENATE( IF(AS56&lt;&gt;0,CONCATENATE(AV56," "),""), BC56, " ", BL56, " ", IF(CC56&gt;0,"Ext ",""), IF(CH56&gt;0,"De ",""), LEFT(A56,5), "-", I56, " ", IF(AR56&gt;0,"+",IF(AR56=0,"±","")), AR56, IF(CR56&gt;0,CONCATENATE(" A+",VLOOKUP( $AQ56, Tables!$A$366:$G$384, 2 ))," A--"), " ", IF(CQ56&gt;0,"P",""), IF(CR56&gt;0,"A",""), "(",CS56,")" ), ""  )</f>
        <v/>
      </c>
      <c r="S56" s="223">
        <f t="shared" si="237"/>
        <v>12</v>
      </c>
      <c r="T56" t="str">
        <f t="shared" si="238"/>
        <v/>
      </c>
      <c r="Z56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</v>
      </c>
      <c r="AA56" s="160" t="str">
        <f t="shared" si="239"/>
        <v/>
      </c>
      <c r="AB56" s="161" t="str">
        <f t="shared" si="254"/>
        <v/>
      </c>
      <c r="AC56" s="160" t="str">
        <f t="shared" si="1"/>
        <v xml:space="preserve">                               </v>
      </c>
      <c r="AD56" s="160" t="str">
        <f t="shared" si="2"/>
        <v xml:space="preserve">           </v>
      </c>
      <c r="AE56" s="162" t="str">
        <f t="shared" si="232"/>
        <v>0</v>
      </c>
      <c r="AF56" s="160" t="str">
        <f t="shared" si="3"/>
        <v xml:space="preserve">           </v>
      </c>
      <c r="AG56" s="161" t="str">
        <f t="shared" si="233"/>
        <v>0</v>
      </c>
      <c r="AH56" s="160" t="str">
        <f t="shared" si="53"/>
        <v xml:space="preserve">           </v>
      </c>
      <c r="AI56" s="163" t="str">
        <f t="shared" si="234"/>
        <v>0</v>
      </c>
      <c r="AJ56" s="160" t="str">
        <f t="shared" si="5"/>
        <v xml:space="preserve">      </v>
      </c>
      <c r="AK56" s="163" t="str">
        <f t="shared" si="14"/>
        <v/>
      </c>
      <c r="AL56" s="163"/>
      <c r="AM56" s="153"/>
      <c r="AN56" s="153"/>
      <c r="AO56" s="153">
        <f xml:space="preserve"> J56 * MAX( 1, ROUNDUP(IFERROR(K56/J56,0)/35,0) ) * (L56&gt;=0) * (A56&lt;&gt;Tables!$A$414)</f>
        <v>0</v>
      </c>
      <c r="AP56" s="153"/>
      <c r="AQ56">
        <f t="shared" si="255"/>
        <v>12</v>
      </c>
      <c r="AR56" s="68">
        <f xml:space="preserve"> 0*VLOOKUP( $AQ56, Tables!$A$366:$G$384, 2 ) + BB56 + BO56 + CE56 + CJ56</f>
        <v>0</v>
      </c>
      <c r="AS56" s="69">
        <f t="shared" si="256"/>
        <v>0</v>
      </c>
      <c r="AT56" t="s">
        <v>378</v>
      </c>
      <c r="AU56" s="8" t="str">
        <f>VLOOKUP( $AS56, Tables!$A$184:$H$193,  2 )</f>
        <v>Standard</v>
      </c>
      <c r="AV56" s="8" t="str">
        <f>VLOOKUP( $AS56, Tables!$A$184:$H$193,  3 )</f>
        <v>Std</v>
      </c>
      <c r="AW56" s="52">
        <f>VLOOKUP( $AS56, Tables!$A$184:$H$193, 4 )</f>
        <v>0</v>
      </c>
      <c r="AX56" s="8">
        <f>VLOOKUP( $AS56, Tables!$A$184:$H$193,  5 )</f>
        <v>1</v>
      </c>
      <c r="AY56" s="8">
        <f>VLOOKUP( $AS56, Tables!$A$184:$H$193, 6 )</f>
        <v>1</v>
      </c>
      <c r="AZ56" s="8">
        <f>VLOOKUP( $AS56, Tables!$A$184:$H$193, 7 )</f>
        <v>1</v>
      </c>
      <c r="BA56" s="8">
        <f>VLOOKUP( $AS56, Tables!$A$184:$H$193, 8 )</f>
        <v>1</v>
      </c>
      <c r="BB56" s="60">
        <f>VLOOKUP( $AS56, Tables!$A$184:$Q$193, 9 )</f>
        <v>0</v>
      </c>
      <c r="BC56" s="109" t="str">
        <f xml:space="preserve"> VLOOKUP( $AQ56, Tables!$C$366:$H$384, IF($BH56&gt;10,3,6) )</f>
        <v>AR</v>
      </c>
      <c r="BD56" t="s">
        <v>470</v>
      </c>
      <c r="BE56">
        <f>VLOOKUP( $A56, Tables!$A$407:$G$431, 3, 0 )</f>
        <v>10</v>
      </c>
      <c r="BF56">
        <f>VLOOKUP( $A56, Tables!$A$407:$G$431, 4, 0 )</f>
        <v>1</v>
      </c>
      <c r="BG56">
        <f>VLOOKUP( $A56, Tables!$A$407:$G$431, 5, 0 )</f>
        <v>7</v>
      </c>
      <c r="BH56">
        <f>VLOOKUP( $A56, Tables!$A$407:$G$431, 6, 0 )</f>
        <v>12</v>
      </c>
      <c r="BI56">
        <f>VLOOKUP( $A56, Tables!$A$407:$G$431, 7, 0 )</f>
        <v>1</v>
      </c>
      <c r="BJ56" t="str">
        <f>VLOOKUP( $A56, Tables!$A$407:$G$431, 2, 0 )</f>
        <v>N</v>
      </c>
      <c r="BK56" t="s">
        <v>109</v>
      </c>
      <c r="BL56" t="str">
        <f xml:space="preserve"> IF( BI56&gt;0,  VLOOKUP( $C56, Tables!$B$435:$H$447, 3, 0 ),  Tables!$D$435  )</f>
        <v>Surf</v>
      </c>
      <c r="BM56">
        <f>VLOOKUP( $BL56, Tables!$D$435:$H$447, 2, 0 )</f>
        <v>0</v>
      </c>
      <c r="BN56">
        <f>VLOOKUP( $BL56, Tables!$D$435:$H$447, 3, 0 )</f>
        <v>1</v>
      </c>
      <c r="BO56">
        <f>VLOOKUP( $BL56, Tables!$D$435:$H$447, 4, 0 )</f>
        <v>0</v>
      </c>
      <c r="BP56">
        <f>VLOOKUP( $BL56, Tables!$D$435:$H$447, 5, 0 )</f>
        <v>0</v>
      </c>
      <c r="BR56" t="s">
        <v>618</v>
      </c>
      <c r="BS56">
        <f>VLOOKUP( $D56, Tables!$B$388:$J$394, IF( $BH56&lt;10, 2,9), 0 )</f>
        <v>0</v>
      </c>
      <c r="BT56">
        <f>VLOOKUP( $D56, Tables!$B$388:$I$394, 3, 0 )</f>
        <v>7</v>
      </c>
      <c r="BU56">
        <f>VLOOKUP( $D56, Tables!$B$388:$I$394, 4, 0 )</f>
        <v>0</v>
      </c>
      <c r="BV56">
        <f>VLOOKUP( $D56, Tables!$B$388:$I$394, 5, 0 )</f>
        <v>7</v>
      </c>
      <c r="BW56">
        <f>VLOOKUP( $D56, Tables!$B$388:$I$394, 6, 0 )</f>
        <v>0</v>
      </c>
      <c r="BX56" s="85">
        <f>VLOOKUP( $D56, Tables!$B$388:$L$394, IF( $BH56&lt;10, 7, 10 ), 0 )</f>
        <v>1</v>
      </c>
      <c r="BY56" s="85">
        <f>VLOOKUP( $D56, Tables!$B$388:$L$394, IF( $BH56&lt;10, 8, 11 ), 0 )</f>
        <v>1</v>
      </c>
      <c r="CA56">
        <f xml:space="preserve"> VLOOKUP( $C56, Tables!$B$435:$I$447, 2, 0 )</f>
        <v>3</v>
      </c>
      <c r="CB56">
        <f t="shared" si="240"/>
        <v>0</v>
      </c>
      <c r="CC56">
        <f t="shared" si="257"/>
        <v>0</v>
      </c>
      <c r="CD56">
        <f t="shared" si="258"/>
        <v>0</v>
      </c>
      <c r="CE56">
        <f t="shared" si="259"/>
        <v>0</v>
      </c>
      <c r="CG56">
        <f t="shared" si="241"/>
        <v>0</v>
      </c>
      <c r="CH56">
        <f t="shared" si="260"/>
        <v>0</v>
      </c>
      <c r="CI56">
        <f t="shared" si="261"/>
        <v>0</v>
      </c>
      <c r="CJ56">
        <f t="shared" si="262"/>
        <v>0</v>
      </c>
      <c r="CM56">
        <f t="shared" si="263"/>
        <v>10</v>
      </c>
      <c r="CN56">
        <f t="shared" si="264"/>
        <v>2</v>
      </c>
      <c r="CQ56">
        <f>VLOOKUP( $A56, Tables!$A$407:$J$431, 8, 0 )</f>
        <v>1</v>
      </c>
      <c r="CR56">
        <f>VLOOKUP( $A56, Tables!$A$407:$J$431, 9, 0 )</f>
        <v>0</v>
      </c>
      <c r="CS56" t="str">
        <f>VLOOKUP( $A56, Tables!$A$407:$J$431, 10, 0 )</f>
        <v>Grav</v>
      </c>
      <c r="CW56">
        <f xml:space="preserve"> J56 * (BP56=0)</f>
        <v>0</v>
      </c>
      <c r="CX56">
        <f t="shared" si="266"/>
        <v>0</v>
      </c>
      <c r="CY56">
        <f t="shared" si="242"/>
        <v>1</v>
      </c>
      <c r="CZ56">
        <f t="shared" si="267"/>
        <v>-3</v>
      </c>
      <c r="DA56">
        <f t="shared" si="268"/>
        <v>2</v>
      </c>
      <c r="DB56" t="str">
        <f xml:space="preserve"> IF(  BI56&gt;0,  VLOOKUP( MIN( MAX( CZ56, IF( CY56&lt;0, CY56, 0+CY56*(Military&gt;1) )), DA56 ), RangeEffectTable, 2 ),  Tables!$B$391  )</f>
        <v>Rng±0, TL±0</v>
      </c>
      <c r="DD56">
        <f t="shared" si="269"/>
        <v>12</v>
      </c>
      <c r="DE56" t="str">
        <f xml:space="preserve"> IF(  $BI56&gt;0,  VLOOKUP( DE$51 - 1*($DD56&gt;10), RangeEffectTable, 2 ),  Tables!$B$391  )</f>
        <v>Rng-3, TL-3</v>
      </c>
      <c r="DF56" t="str">
        <f xml:space="preserve"> IF(  $BI56&gt;0,  VLOOKUP( DF$51 - 1*($DD56&gt;10), RangeEffectTable, 2 ),  Tables!$B$391  )</f>
        <v>Rng-2, TL-2</v>
      </c>
      <c r="DG56" t="str">
        <f xml:space="preserve"> IF(  $BI56&gt;0,  VLOOKUP( DG$51 - 1*($DD56&gt;10), RangeEffectTable, 2 ),  Tables!$B$391  )</f>
        <v>Rng-1, TL-1</v>
      </c>
      <c r="DH56" t="str">
        <f xml:space="preserve"> IF(  $BI56&gt;0,  VLOOKUP( DH$51 - 1*($DD56&gt;10), RangeEffectTable, 2 ),  Tables!$B$391  )</f>
        <v>Rng±0, TL±0</v>
      </c>
      <c r="DI56" t="str">
        <f xml:space="preserve"> IF(  $BI56&gt;0,  VLOOKUP( DI$51 - 1*($DD56&gt;10), RangeEffectTable, 2 ),  Tables!$B$391  )</f>
        <v>Rng+1, TL+1</v>
      </c>
      <c r="DJ56" t="str">
        <f xml:space="preserve"> IF(  $BI56&gt;0,  VLOOKUP( DJ$51 - 1*($DD56&gt;10), RangeEffectTable, 2 ),  Tables!$B$391  )</f>
        <v>Rng+2, TL+2</v>
      </c>
      <c r="DL56">
        <f ca="1" xml:space="preserve"> IF( $AV56=Tables!$C$189, 5, RANDBETWEEN(1,6)+RANDBETWEEN(1,6)-2 )</f>
        <v>0</v>
      </c>
      <c r="DM56">
        <f ca="1" xml:space="preserve"> IF( $AV56=Tables!$C$189, 0, RANDBETWEEN(1,6)-RANDBETWEEN(1,6)+ VLOOKUP( $AS56, Tables!$A$184:$Q$193,  14 ) )</f>
        <v>2</v>
      </c>
      <c r="DN56">
        <f ca="1" xml:space="preserve"> IF( $AV56=Tables!$C$189, 0, RANDBETWEEN(1,6)-RANDBETWEEN(1,6)+ VLOOKUP( $AS56, Tables!$A$184:$Q$193,  15 ) )</f>
        <v>0</v>
      </c>
      <c r="DO56">
        <f ca="1" xml:space="preserve"> IF( $AV56=Tables!$C$189, 0, RANDBETWEEN(1,6)-RANDBETWEEN(1,6)+ VLOOKUP( $AS56, Tables!$A$184:$Q$193,  16 ) )</f>
        <v>-1</v>
      </c>
      <c r="DP56">
        <f ca="1" xml:space="preserve"> IF( $AV56=Tables!$C$189, 0, RANDBETWEEN(1,6)-RANDBETWEEN(1,6)+ VLOOKUP( $AS56, Tables!$A$184:$Q$193,  17 ) )</f>
        <v>0</v>
      </c>
      <c r="DQ56" s="44" t="str">
        <f ca="1" xml:space="preserve"> VLOOKUP( $DL56,Tables!$B$2:$C$36,2)</f>
        <v>0</v>
      </c>
      <c r="DR56" t="str">
        <f t="shared" ca="1" si="243"/>
        <v xml:space="preserve"> 2</v>
      </c>
      <c r="DS56" t="str">
        <f t="shared" ca="1" si="244"/>
        <v xml:space="preserve"> 0</v>
      </c>
      <c r="DT56" t="str">
        <f t="shared" ca="1" si="245"/>
        <v>-1</v>
      </c>
      <c r="DU56" t="str">
        <f t="shared" ca="1" si="246"/>
        <v xml:space="preserve"> 0</v>
      </c>
      <c r="DW56" s="194">
        <f xml:space="preserve"> SUM( DX$4:DX56, -DX56 )</f>
        <v>0</v>
      </c>
      <c r="DX56" s="194">
        <v>0</v>
      </c>
      <c r="DY56" s="194">
        <f xml:space="preserve"> SUM( DZ$4:DZ56, -DZ56 )</f>
        <v>13</v>
      </c>
      <c r="DZ56" s="194">
        <v>0</v>
      </c>
      <c r="EA56" s="194">
        <f xml:space="preserve"> SUM( EB$4:EB56, -EB56 )</f>
        <v>0</v>
      </c>
      <c r="EB56" s="194">
        <v>0</v>
      </c>
      <c r="EC56" s="194">
        <f xml:space="preserve"> SUM( ED$4:ED56, -ED56 )</f>
        <v>0</v>
      </c>
      <c r="ED56" s="194">
        <v>0</v>
      </c>
      <c r="EE56" s="194">
        <f xml:space="preserve"> SUM( EF$4:EF56, -EF56 )</f>
        <v>0</v>
      </c>
      <c r="EF56" s="194">
        <v>0</v>
      </c>
      <c r="EG56" s="194">
        <f xml:space="preserve"> SUM( EH$4:EH56, -EH56 )</f>
        <v>0</v>
      </c>
      <c r="EH56" s="194">
        <v>0</v>
      </c>
      <c r="EI56" s="194">
        <f xml:space="preserve"> SUM( EJ$4:EJ56, -EJ56 )</f>
        <v>0</v>
      </c>
      <c r="EJ56" s="194">
        <v>0</v>
      </c>
      <c r="EK56" s="194">
        <f xml:space="preserve"> SUM( EL$4:EL56, -EL56 )</f>
        <v>0</v>
      </c>
      <c r="EL56" s="194">
        <v>0</v>
      </c>
      <c r="EM56" s="194">
        <f xml:space="preserve"> SUM( EN$4:EN56, -EN56 )</f>
        <v>0</v>
      </c>
      <c r="EN56" s="194">
        <v>0</v>
      </c>
      <c r="EO56" s="194">
        <f xml:space="preserve"> SUM( EP$4:EP56, -EP56 )</f>
        <v>0</v>
      </c>
      <c r="EP56" s="194">
        <v>0</v>
      </c>
      <c r="EQ56" s="194">
        <f xml:space="preserve"> SUM( ER$4:ER56, -ER56 )</f>
        <v>24</v>
      </c>
      <c r="ER56" s="194">
        <v>0</v>
      </c>
      <c r="ES56" s="194">
        <f xml:space="preserve"> SUM( ET$4:ET56, -ET56 )</f>
        <v>0</v>
      </c>
      <c r="ET56" s="194">
        <v>0</v>
      </c>
      <c r="EU56" s="194">
        <f xml:space="preserve"> SUM( EV$4:EV56, -EV56 )</f>
        <v>10</v>
      </c>
      <c r="EV56" s="194">
        <v>0</v>
      </c>
      <c r="EW56" s="194">
        <f xml:space="preserve"> SUM( EX$4:EX56, -EX56 )</f>
        <v>6</v>
      </c>
      <c r="EX56" s="194">
        <v>0</v>
      </c>
      <c r="EZ56" t="str">
        <f t="shared" si="15"/>
        <v>Neutrino Sensor</v>
      </c>
      <c r="FB56" s="237">
        <f xml:space="preserve"> SUM( FC$4:FC56, -FC56 )</f>
        <v>4</v>
      </c>
      <c r="FC56" s="237">
        <f t="shared" si="270"/>
        <v>0</v>
      </c>
      <c r="FD56" s="237">
        <f xml:space="preserve"> SUM( FE$4:FE56, -FE56 )</f>
        <v>1</v>
      </c>
      <c r="FE56" s="237">
        <f t="shared" si="271"/>
        <v>0</v>
      </c>
      <c r="FF56" t="str">
        <f xml:space="preserve"> CONCATENATE( EZ56 &amp; " " &amp; IF(BL56=Tables!$D$438,"",BL56) )</f>
        <v xml:space="preserve">Neutrino Sensor </v>
      </c>
    </row>
    <row r="57" spans="1:162">
      <c r="A57" s="63" t="s">
        <v>587</v>
      </c>
      <c r="B57" s="8" t="str">
        <f t="shared" si="247"/>
        <v>Std</v>
      </c>
      <c r="C57" s="63" t="s">
        <v>990</v>
      </c>
      <c r="D57" s="63" t="str">
        <f xml:space="preserve"> IF( Military&gt;-1, $DB57, Tables!$B$391 )</f>
        <v>Rng-2, TL-2</v>
      </c>
      <c r="E57" s="81">
        <v>0</v>
      </c>
      <c r="F57" s="82">
        <v>0</v>
      </c>
      <c r="G57" s="10">
        <v>0</v>
      </c>
      <c r="H57" s="221">
        <f t="shared" si="235"/>
        <v>0</v>
      </c>
      <c r="I57" s="4">
        <f t="shared" si="248"/>
        <v>11</v>
      </c>
      <c r="J57" s="86">
        <f t="shared" si="249"/>
        <v>0</v>
      </c>
      <c r="K57" s="194">
        <f t="shared" si="250"/>
        <v>0</v>
      </c>
      <c r="L57" s="194">
        <f t="shared" si="251"/>
        <v>0</v>
      </c>
      <c r="M57" s="191">
        <f t="shared" si="252"/>
        <v>0</v>
      </c>
      <c r="N57" s="191">
        <f t="shared" si="253"/>
        <v>0</v>
      </c>
      <c r="O57" s="204" t="str">
        <f t="shared" si="236"/>
        <v/>
      </c>
      <c r="P57" s="196" t="str">
        <f xml:space="preserve"> IF(  J57&gt;0,  CONCATENATE( IF(AS57&lt;&gt;0,CONCATENATE(AV57," "),""), BC57, " ", BL57, " ", IF(CC57&gt;0,"Ext ",""), IF(CH57&gt;0,"De ",""), LEFT(A57,5), "-", I57, " ", IF(AR57&gt;0,"+",IF(AR57=0,"±","")), AR57, IF(CR57&gt;0,CONCATENATE(" A+",VLOOKUP( $AQ57, Tables!$A$366:$G$384, 2 ))," A--"), " ", IF(CQ57&gt;0,"P",""), IF(CR57&gt;0,"A",""), "(",CS57,")" ), ""  )</f>
        <v/>
      </c>
      <c r="S57" s="223">
        <f t="shared" si="237"/>
        <v>12</v>
      </c>
      <c r="T57" t="str">
        <f t="shared" si="238"/>
        <v/>
      </c>
      <c r="Z57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</v>
      </c>
      <c r="AA57" s="160" t="str">
        <f t="shared" si="239"/>
        <v/>
      </c>
      <c r="AB57" s="161" t="str">
        <f t="shared" si="254"/>
        <v/>
      </c>
      <c r="AC57" s="160" t="str">
        <f t="shared" si="1"/>
        <v xml:space="preserve">                               </v>
      </c>
      <c r="AD57" s="160" t="str">
        <f t="shared" si="2"/>
        <v xml:space="preserve">           </v>
      </c>
      <c r="AE57" s="162" t="str">
        <f t="shared" si="232"/>
        <v>0</v>
      </c>
      <c r="AF57" s="160" t="str">
        <f t="shared" si="3"/>
        <v xml:space="preserve">           </v>
      </c>
      <c r="AG57" s="161" t="str">
        <f t="shared" si="233"/>
        <v>0</v>
      </c>
      <c r="AH57" s="160" t="str">
        <f t="shared" si="53"/>
        <v xml:space="preserve">           </v>
      </c>
      <c r="AI57" s="163" t="str">
        <f t="shared" si="234"/>
        <v>0</v>
      </c>
      <c r="AJ57" s="160" t="str">
        <f t="shared" si="5"/>
        <v xml:space="preserve">      </v>
      </c>
      <c r="AK57" s="163" t="str">
        <f t="shared" si="14"/>
        <v/>
      </c>
      <c r="AL57" s="163"/>
      <c r="AM57" s="153"/>
      <c r="AN57" s="153"/>
      <c r="AO57" s="153">
        <f xml:space="preserve"> J57 * MAX( 1, ROUNDUP(IFERROR(K57/J57,0)/35,0) ) * (L57&gt;=0) * (A57&lt;&gt;Tables!$A$414)</f>
        <v>0</v>
      </c>
      <c r="AP57" s="153"/>
      <c r="AQ57">
        <f t="shared" si="255"/>
        <v>9</v>
      </c>
      <c r="AR57" s="68">
        <f xml:space="preserve"> 0*VLOOKUP( $AQ57, Tables!$A$366:$G$384, 2 ) + BB57 + BO57 + CE57 + CJ57</f>
        <v>0</v>
      </c>
      <c r="AS57" s="69">
        <f t="shared" si="256"/>
        <v>0</v>
      </c>
      <c r="AT57" t="s">
        <v>378</v>
      </c>
      <c r="AU57" s="8" t="str">
        <f>VLOOKUP( $AS57, Tables!$A$184:$H$193,  2 )</f>
        <v>Standard</v>
      </c>
      <c r="AV57" s="8" t="str">
        <f>VLOOKUP( $AS57, Tables!$A$184:$H$193,  3 )</f>
        <v>Std</v>
      </c>
      <c r="AW57" s="52">
        <f>VLOOKUP( $AS57, Tables!$A$184:$H$193, 4 )</f>
        <v>0</v>
      </c>
      <c r="AX57" s="8">
        <f>VLOOKUP( $AS57, Tables!$A$184:$H$193,  5 )</f>
        <v>1</v>
      </c>
      <c r="AY57" s="8">
        <f>VLOOKUP( $AS57, Tables!$A$184:$H$193, 6 )</f>
        <v>1</v>
      </c>
      <c r="AZ57" s="8">
        <f>VLOOKUP( $AS57, Tables!$A$184:$H$193, 7 )</f>
        <v>1</v>
      </c>
      <c r="BA57" s="8">
        <f>VLOOKUP( $AS57, Tables!$A$184:$H$193, 8 )</f>
        <v>1</v>
      </c>
      <c r="BB57" s="60">
        <f>VLOOKUP( $AS57, Tables!$A$184:$Q$193, 9 )</f>
        <v>0</v>
      </c>
      <c r="BC57" s="109" t="str">
        <f xml:space="preserve"> VLOOKUP( $AQ57, Tables!$C$366:$H$384, IF($BH57&gt;10,3,6) )</f>
        <v>SR</v>
      </c>
      <c r="BD57" t="s">
        <v>470</v>
      </c>
      <c r="BE57">
        <f>VLOOKUP( $A57, Tables!$A$407:$G$431, 3, 0 )</f>
        <v>13</v>
      </c>
      <c r="BF57">
        <f>VLOOKUP( $A57, Tables!$A$407:$G$431, 4, 0 )</f>
        <v>1</v>
      </c>
      <c r="BG57">
        <f>VLOOKUP( $A57, Tables!$A$407:$G$431, 5, 0 )</f>
        <v>7</v>
      </c>
      <c r="BH57">
        <f>VLOOKUP( $A57, Tables!$A$407:$G$431, 6, 0 )</f>
        <v>12</v>
      </c>
      <c r="BI57">
        <f>VLOOKUP( $A57, Tables!$A$407:$G$431, 7, 0 )</f>
        <v>1</v>
      </c>
      <c r="BJ57" t="str">
        <f>VLOOKUP( $A57, Tables!$A$407:$G$431, 2, 0 )</f>
        <v>G</v>
      </c>
      <c r="BK57" t="s">
        <v>109</v>
      </c>
      <c r="BL57" t="str">
        <f xml:space="preserve"> IF( BI57&gt;0,  VLOOKUP( $C57, Tables!$B$435:$H$447, 3, 0 ),  Tables!$D$435  )</f>
        <v>Surf</v>
      </c>
      <c r="BM57">
        <f>VLOOKUP( $BL57, Tables!$D$435:$H$447, 2, 0 )</f>
        <v>0</v>
      </c>
      <c r="BN57">
        <f>VLOOKUP( $BL57, Tables!$D$435:$H$447, 3, 0 )</f>
        <v>1</v>
      </c>
      <c r="BO57">
        <f>VLOOKUP( $BL57, Tables!$D$435:$H$447, 4, 0 )</f>
        <v>0</v>
      </c>
      <c r="BP57">
        <f>VLOOKUP( $BL57, Tables!$D$435:$H$447, 5, 0 )</f>
        <v>0</v>
      </c>
      <c r="BR57" t="s">
        <v>618</v>
      </c>
      <c r="BS57">
        <f>VLOOKUP( $D57, Tables!$B$388:$J$394, IF( $BH57&lt;10, 2,9), 0 )</f>
        <v>-2</v>
      </c>
      <c r="BT57">
        <f>VLOOKUP( $D57, Tables!$B$388:$I$394, 3, 0 )</f>
        <v>5</v>
      </c>
      <c r="BU57">
        <f>VLOOKUP( $D57, Tables!$B$388:$I$394, 4, 0 )</f>
        <v>-2</v>
      </c>
      <c r="BV57">
        <f>VLOOKUP( $D57, Tables!$B$388:$I$394, 5, 0 )</f>
        <v>2</v>
      </c>
      <c r="BW57">
        <f>VLOOKUP( $D57, Tables!$B$388:$I$394, 6, 0 )</f>
        <v>-3</v>
      </c>
      <c r="BX57" s="85">
        <f>VLOOKUP( $D57, Tables!$B$388:$L$394, IF( $BH57&lt;10, 7, 10 ), 0 )</f>
        <v>0.3333334</v>
      </c>
      <c r="BY57" s="85">
        <f>VLOOKUP( $D57, Tables!$B$388:$L$394, IF( $BH57&lt;10, 8, 11 ), 0 )</f>
        <v>0.3333334</v>
      </c>
      <c r="CA57">
        <f xml:space="preserve"> VLOOKUP( $C57, Tables!$B$435:$I$447, 2, 0 )</f>
        <v>3</v>
      </c>
      <c r="CB57">
        <f t="shared" si="240"/>
        <v>0</v>
      </c>
      <c r="CC57">
        <f t="shared" si="257"/>
        <v>0</v>
      </c>
      <c r="CD57">
        <f t="shared" si="258"/>
        <v>0</v>
      </c>
      <c r="CE57">
        <f t="shared" si="259"/>
        <v>0</v>
      </c>
      <c r="CG57">
        <f t="shared" si="241"/>
        <v>0</v>
      </c>
      <c r="CH57">
        <f t="shared" si="260"/>
        <v>0</v>
      </c>
      <c r="CI57">
        <f t="shared" si="261"/>
        <v>0</v>
      </c>
      <c r="CJ57">
        <f t="shared" si="262"/>
        <v>0</v>
      </c>
      <c r="CM57">
        <f t="shared" si="263"/>
        <v>11</v>
      </c>
      <c r="CN57">
        <f t="shared" si="264"/>
        <v>1</v>
      </c>
      <c r="CQ57">
        <f>VLOOKUP( $A57, Tables!$A$407:$J$431, 8, 0 )</f>
        <v>1</v>
      </c>
      <c r="CR57">
        <f>VLOOKUP( $A57, Tables!$A$407:$J$431, 9, 0 )</f>
        <v>0</v>
      </c>
      <c r="CS57" t="str">
        <f>VLOOKUP( $A57, Tables!$A$407:$J$431, 10, 0 )</f>
        <v>Grav</v>
      </c>
      <c r="CW57">
        <f t="shared" si="265"/>
        <v>0</v>
      </c>
      <c r="CX57">
        <f t="shared" si="266"/>
        <v>0</v>
      </c>
      <c r="CY57">
        <f t="shared" si="242"/>
        <v>-2</v>
      </c>
      <c r="CZ57">
        <f t="shared" si="267"/>
        <v>-3</v>
      </c>
      <c r="DA57">
        <f t="shared" si="268"/>
        <v>2</v>
      </c>
      <c r="DB57" t="str">
        <f xml:space="preserve"> IF(  BI57&gt;0,  VLOOKUP( MIN( MAX( CZ57, IF( CY57&lt;0, CY57, 0+CY57*(Military&gt;1) )), DA57 ), RangeEffectTable, 2 ),  Tables!$B$391  )</f>
        <v>Rng-2, TL-2</v>
      </c>
      <c r="DD57">
        <f t="shared" si="269"/>
        <v>12</v>
      </c>
      <c r="DE57" t="str">
        <f xml:space="preserve"> IF(  $BI57&gt;0,  VLOOKUP( DE$51 - 1*($DD57&gt;10), RangeEffectTable, 2 ),  Tables!$B$391  )</f>
        <v>Rng-3, TL-3</v>
      </c>
      <c r="DF57" t="str">
        <f xml:space="preserve"> IF(  $BI57&gt;0,  VLOOKUP( DF$51 - 1*($DD57&gt;10), RangeEffectTable, 2 ),  Tables!$B$391  )</f>
        <v>Rng-2, TL-2</v>
      </c>
      <c r="DG57" t="str">
        <f xml:space="preserve"> IF(  $BI57&gt;0,  VLOOKUP( DG$51 - 1*($DD57&gt;10), RangeEffectTable, 2 ),  Tables!$B$391  )</f>
        <v>Rng-1, TL-1</v>
      </c>
      <c r="DH57" t="str">
        <f xml:space="preserve"> IF(  $BI57&gt;0,  VLOOKUP( DH$51 - 1*($DD57&gt;10), RangeEffectTable, 2 ),  Tables!$B$391  )</f>
        <v>Rng±0, TL±0</v>
      </c>
      <c r="DI57" t="str">
        <f xml:space="preserve"> IF(  $BI57&gt;0,  VLOOKUP( DI$51 - 1*($DD57&gt;10), RangeEffectTable, 2 ),  Tables!$B$391  )</f>
        <v>Rng+1, TL+1</v>
      </c>
      <c r="DJ57" t="str">
        <f xml:space="preserve"> IF(  $BI57&gt;0,  VLOOKUP( DJ$51 - 1*($DD57&gt;10), RangeEffectTable, 2 ),  Tables!$B$391  )</f>
        <v>Rng+2, TL+2</v>
      </c>
      <c r="DL57">
        <f ca="1" xml:space="preserve"> IF( $AV57=Tables!$C$189, 5, RANDBETWEEN(1,6)+RANDBETWEEN(1,6)-2 )</f>
        <v>1</v>
      </c>
      <c r="DM57">
        <f ca="1" xml:space="preserve"> IF( $AV57=Tables!$C$189, 0, RANDBETWEEN(1,6)-RANDBETWEEN(1,6)+ VLOOKUP( $AS57, Tables!$A$184:$Q$193,  14 ) )</f>
        <v>-3</v>
      </c>
      <c r="DN57">
        <f ca="1" xml:space="preserve"> IF( $AV57=Tables!$C$189, 0, RANDBETWEEN(1,6)-RANDBETWEEN(1,6)+ VLOOKUP( $AS57, Tables!$A$184:$Q$193,  15 ) )</f>
        <v>3</v>
      </c>
      <c r="DO57">
        <f ca="1" xml:space="preserve"> IF( $AV57=Tables!$C$189, 0, RANDBETWEEN(1,6)-RANDBETWEEN(1,6)+ VLOOKUP( $AS57, Tables!$A$184:$Q$193,  16 ) )</f>
        <v>4</v>
      </c>
      <c r="DP57">
        <f ca="1" xml:space="preserve"> IF( $AV57=Tables!$C$189, 0, RANDBETWEEN(1,6)-RANDBETWEEN(1,6)+ VLOOKUP( $AS57, Tables!$A$184:$Q$193,  17 ) )</f>
        <v>-3</v>
      </c>
      <c r="DQ57" s="44" t="str">
        <f ca="1" xml:space="preserve"> VLOOKUP( $DL57,Tables!$B$2:$C$36,2)</f>
        <v>1</v>
      </c>
      <c r="DR57" t="str">
        <f t="shared" ca="1" si="243"/>
        <v>-3</v>
      </c>
      <c r="DS57" t="str">
        <f t="shared" ca="1" si="244"/>
        <v xml:space="preserve"> 3</v>
      </c>
      <c r="DT57" t="str">
        <f t="shared" ca="1" si="245"/>
        <v xml:space="preserve"> 4</v>
      </c>
      <c r="DU57" t="str">
        <f t="shared" ca="1" si="246"/>
        <v>-3</v>
      </c>
      <c r="DW57" s="194">
        <f xml:space="preserve"> SUM( DX$4:DX57, -DX57 )</f>
        <v>0</v>
      </c>
      <c r="DX57" s="194">
        <v>0</v>
      </c>
      <c r="DY57" s="194">
        <f xml:space="preserve"> SUM( DZ$4:DZ57, -DZ57 )</f>
        <v>13</v>
      </c>
      <c r="DZ57" s="194">
        <v>0</v>
      </c>
      <c r="EA57" s="194">
        <f xml:space="preserve"> SUM( EB$4:EB57, -EB57 )</f>
        <v>0</v>
      </c>
      <c r="EB57" s="194">
        <v>0</v>
      </c>
      <c r="EC57" s="194">
        <f xml:space="preserve"> SUM( ED$4:ED57, -ED57 )</f>
        <v>0</v>
      </c>
      <c r="ED57" s="194">
        <v>0</v>
      </c>
      <c r="EE57" s="194">
        <f xml:space="preserve"> SUM( EF$4:EF57, -EF57 )</f>
        <v>0</v>
      </c>
      <c r="EF57" s="194">
        <v>0</v>
      </c>
      <c r="EG57" s="194">
        <f xml:space="preserve"> SUM( EH$4:EH57, -EH57 )</f>
        <v>0</v>
      </c>
      <c r="EH57" s="194">
        <v>0</v>
      </c>
      <c r="EI57" s="194">
        <f xml:space="preserve"> SUM( EJ$4:EJ57, -EJ57 )</f>
        <v>0</v>
      </c>
      <c r="EJ57" s="194">
        <v>0</v>
      </c>
      <c r="EK57" s="194">
        <f xml:space="preserve"> SUM( EL$4:EL57, -EL57 )</f>
        <v>0</v>
      </c>
      <c r="EL57" s="194">
        <v>0</v>
      </c>
      <c r="EM57" s="194">
        <f xml:space="preserve"> SUM( EN$4:EN57, -EN57 )</f>
        <v>0</v>
      </c>
      <c r="EN57" s="194">
        <v>0</v>
      </c>
      <c r="EO57" s="194">
        <f xml:space="preserve"> SUM( EP$4:EP57, -EP57 )</f>
        <v>0</v>
      </c>
      <c r="EP57" s="194">
        <v>0</v>
      </c>
      <c r="EQ57" s="194">
        <f xml:space="preserve"> SUM( ER$4:ER57, -ER57 )</f>
        <v>24</v>
      </c>
      <c r="ER57" s="194">
        <v>0</v>
      </c>
      <c r="ES57" s="194">
        <f xml:space="preserve"> SUM( ET$4:ET57, -ET57 )</f>
        <v>0</v>
      </c>
      <c r="ET57" s="194">
        <v>0</v>
      </c>
      <c r="EU57" s="194">
        <f xml:space="preserve"> SUM( EV$4:EV57, -EV57 )</f>
        <v>10</v>
      </c>
      <c r="EV57" s="194">
        <v>0</v>
      </c>
      <c r="EW57" s="194">
        <f xml:space="preserve"> SUM( EX$4:EX57, -EX57 )</f>
        <v>6</v>
      </c>
      <c r="EX57" s="194">
        <v>0</v>
      </c>
      <c r="EZ57" t="str">
        <f t="shared" si="15"/>
        <v>Grav Sensor</v>
      </c>
      <c r="FB57" s="237">
        <f xml:space="preserve"> SUM( FC$4:FC57, -FC57 )</f>
        <v>4</v>
      </c>
      <c r="FC57" s="237">
        <f t="shared" si="270"/>
        <v>0</v>
      </c>
      <c r="FD57" s="237">
        <f xml:space="preserve"> SUM( FE$4:FE57, -FE57 )</f>
        <v>1</v>
      </c>
      <c r="FE57" s="237">
        <f t="shared" si="271"/>
        <v>0</v>
      </c>
      <c r="FF57" t="str">
        <f xml:space="preserve"> CONCATENATE( EZ57 &amp; " " &amp; IF(BL57=Tables!$D$438,"",BL57) )</f>
        <v xml:space="preserve">Grav Sensor </v>
      </c>
    </row>
    <row r="58" spans="1:162">
      <c r="A58" s="63" t="s">
        <v>611</v>
      </c>
      <c r="B58" s="8" t="str">
        <f t="shared" si="247"/>
        <v>Std</v>
      </c>
      <c r="C58" s="63" t="s">
        <v>990</v>
      </c>
      <c r="D58" s="63" t="str">
        <f xml:space="preserve"> IF( Military&gt;-1, $DB58, Tables!$B$391 )</f>
        <v>Rng±0, TL±0</v>
      </c>
      <c r="E58" s="81">
        <v>0</v>
      </c>
      <c r="F58" s="82">
        <v>0</v>
      </c>
      <c r="G58" s="20">
        <f>1*(Military&gt;0)</f>
        <v>0</v>
      </c>
      <c r="H58" s="221">
        <f t="shared" si="235"/>
        <v>0</v>
      </c>
      <c r="I58" s="4">
        <f t="shared" si="248"/>
        <v>8</v>
      </c>
      <c r="J58" s="86">
        <f t="shared" si="249"/>
        <v>0</v>
      </c>
      <c r="K58" s="194">
        <f t="shared" si="250"/>
        <v>0</v>
      </c>
      <c r="L58" s="194">
        <f t="shared" si="251"/>
        <v>0</v>
      </c>
      <c r="M58" s="191">
        <f t="shared" si="252"/>
        <v>0</v>
      </c>
      <c r="N58" s="191">
        <f t="shared" si="253"/>
        <v>0</v>
      </c>
      <c r="O58" s="204" t="str">
        <f t="shared" si="236"/>
        <v/>
      </c>
      <c r="P58" s="196" t="str">
        <f xml:space="preserve"> IF(  J58&gt;0,  CONCATENATE( IF(AS58&lt;&gt;0,CONCATENATE(AV58," "),""), BC58, " ", BL58, " ", IF(CC58&gt;0,"Ext ",""), IF(CH58&gt;0,"De ",""), LEFT(A58,5), "-", I58, " ", IF(AR58&gt;0,"+",IF(AR58=0,"±","")), AR58, IF(CR58&gt;0,CONCATENATE(" A+",VLOOKUP( $AQ58, Tables!$A$366:$G$384, 2 ))," A--"), " ", IF(CQ58&gt;0,"P",""), IF(CR58&gt;0,"A",""), "(",CS58,")" ), ""  )</f>
        <v/>
      </c>
      <c r="S58" s="223">
        <f t="shared" si="237"/>
        <v>12</v>
      </c>
      <c r="T58" t="str">
        <f t="shared" si="238"/>
        <v/>
      </c>
      <c r="Z58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</v>
      </c>
      <c r="AA58" s="160" t="str">
        <f t="shared" si="239"/>
        <v/>
      </c>
      <c r="AB58" s="161" t="str">
        <f t="shared" si="254"/>
        <v/>
      </c>
      <c r="AC58" s="160" t="str">
        <f t="shared" si="1"/>
        <v xml:space="preserve">                               </v>
      </c>
      <c r="AD58" s="160" t="str">
        <f t="shared" si="2"/>
        <v xml:space="preserve">           </v>
      </c>
      <c r="AE58" s="162" t="str">
        <f t="shared" si="232"/>
        <v>0</v>
      </c>
      <c r="AF58" s="160" t="str">
        <f t="shared" si="3"/>
        <v xml:space="preserve">           </v>
      </c>
      <c r="AG58" s="161" t="str">
        <f t="shared" si="233"/>
        <v>0</v>
      </c>
      <c r="AH58" s="160" t="str">
        <f t="shared" si="53"/>
        <v xml:space="preserve">           </v>
      </c>
      <c r="AI58" s="163" t="str">
        <f t="shared" si="234"/>
        <v>0</v>
      </c>
      <c r="AJ58" s="160" t="str">
        <f t="shared" si="5"/>
        <v xml:space="preserve">      </v>
      </c>
      <c r="AK58" s="163" t="str">
        <f t="shared" si="14"/>
        <v/>
      </c>
      <c r="AL58" s="163"/>
      <c r="AM58" s="153"/>
      <c r="AN58" s="153"/>
      <c r="AO58" s="153">
        <f xml:space="preserve"> J58 * MAX( 1, ROUNDUP(IFERROR(K58/J58,0)/35,0) ) * (L58&gt;=0) * (A58&lt;&gt;Tables!$A$414)</f>
        <v>0</v>
      </c>
      <c r="AP58" s="153"/>
      <c r="AQ58">
        <f t="shared" si="255"/>
        <v>7</v>
      </c>
      <c r="AR58" s="68">
        <f xml:space="preserve"> 0*VLOOKUP( $AQ58, Tables!$A$366:$G$384, 2 ) + BB58 + BO58 + CE58 + CJ58</f>
        <v>0</v>
      </c>
      <c r="AS58" s="69">
        <f t="shared" si="256"/>
        <v>0</v>
      </c>
      <c r="AT58" t="s">
        <v>378</v>
      </c>
      <c r="AU58" s="8" t="str">
        <f>VLOOKUP( $AS58, Tables!$A$184:$H$193,  2 )</f>
        <v>Standard</v>
      </c>
      <c r="AV58" s="8" t="str">
        <f>VLOOKUP( $AS58, Tables!$A$184:$H$193,  3 )</f>
        <v>Std</v>
      </c>
      <c r="AW58" s="52">
        <f>VLOOKUP( $AS58, Tables!$A$184:$H$193, 4 )</f>
        <v>0</v>
      </c>
      <c r="AX58" s="8">
        <f>VLOOKUP( $AS58, Tables!$A$184:$H$193,  5 )</f>
        <v>1</v>
      </c>
      <c r="AY58" s="8">
        <f>VLOOKUP( $AS58, Tables!$A$184:$H$193, 6 )</f>
        <v>1</v>
      </c>
      <c r="AZ58" s="8">
        <f>VLOOKUP( $AS58, Tables!$A$184:$H$193, 7 )</f>
        <v>1</v>
      </c>
      <c r="BA58" s="8">
        <f>VLOOKUP( $AS58, Tables!$A$184:$H$193, 8 )</f>
        <v>1</v>
      </c>
      <c r="BB58" s="60">
        <f>VLOOKUP( $AS58, Tables!$A$184:$Q$193, 9 )</f>
        <v>0</v>
      </c>
      <c r="BC58" s="109" t="str">
        <f xml:space="preserve"> VLOOKUP( $AQ58, Tables!$C$366:$H$384, IF($BH58&gt;10,3,6) )</f>
        <v>Vd</v>
      </c>
      <c r="BD58" t="s">
        <v>470</v>
      </c>
      <c r="BE58">
        <f>VLOOKUP( $A58, Tables!$A$407:$G$431, 3, 0 )</f>
        <v>8</v>
      </c>
      <c r="BF58">
        <f>VLOOKUP( $A58, Tables!$A$407:$G$431, 4, 0 )</f>
        <v>1</v>
      </c>
      <c r="BG58">
        <f>VLOOKUP( $A58, Tables!$A$407:$G$431, 5, 0 )</f>
        <v>0</v>
      </c>
      <c r="BH58">
        <f>VLOOKUP( $A58, Tables!$A$407:$G$431, 6, 0 )</f>
        <v>7</v>
      </c>
      <c r="BI58">
        <f>VLOOKUP( $A58, Tables!$A$407:$G$431, 7, 0 )</f>
        <v>1</v>
      </c>
      <c r="BJ58" t="str">
        <f>VLOOKUP( $A58, Tables!$A$407:$G$431, 2, 0 )</f>
        <v>J</v>
      </c>
      <c r="BK58" t="s">
        <v>109</v>
      </c>
      <c r="BL58" t="str">
        <f xml:space="preserve"> IF( BI58&gt;0,  VLOOKUP( $C58, Tables!$B$435:$H$447, 3, 0 ),  Tables!$D$435  )</f>
        <v>Surf</v>
      </c>
      <c r="BM58">
        <f>VLOOKUP( $BL58, Tables!$D$435:$H$447, 2, 0 )</f>
        <v>0</v>
      </c>
      <c r="BN58">
        <f>VLOOKUP( $BL58, Tables!$D$435:$H$447, 3, 0 )</f>
        <v>1</v>
      </c>
      <c r="BO58">
        <f>VLOOKUP( $BL58, Tables!$D$435:$H$447, 4, 0 )</f>
        <v>0</v>
      </c>
      <c r="BP58">
        <f>VLOOKUP( $BL58, Tables!$D$435:$H$447, 5, 0 )</f>
        <v>0</v>
      </c>
      <c r="BR58" t="s">
        <v>618</v>
      </c>
      <c r="BS58">
        <f>VLOOKUP( $D58, Tables!$B$388:$J$394, IF( $BH58&lt;10, 2,9), 0 )</f>
        <v>0</v>
      </c>
      <c r="BT58">
        <f>VLOOKUP( $D58, Tables!$B$388:$I$394, 3, 0 )</f>
        <v>7</v>
      </c>
      <c r="BU58">
        <f>VLOOKUP( $D58, Tables!$B$388:$I$394, 4, 0 )</f>
        <v>0</v>
      </c>
      <c r="BV58">
        <f>VLOOKUP( $D58, Tables!$B$388:$I$394, 5, 0 )</f>
        <v>7</v>
      </c>
      <c r="BW58">
        <f>VLOOKUP( $D58, Tables!$B$388:$I$394, 6, 0 )</f>
        <v>0</v>
      </c>
      <c r="BX58" s="85">
        <f>VLOOKUP( $D58, Tables!$B$388:$L$394, IF( $BH58&lt;10, 7, 10 ), 0 )</f>
        <v>1</v>
      </c>
      <c r="BY58" s="85">
        <f>VLOOKUP( $D58, Tables!$B$388:$L$394, IF( $BH58&lt;10, 8, 11 ), 0 )</f>
        <v>1</v>
      </c>
      <c r="CA58">
        <f xml:space="preserve"> VLOOKUP( $C58, Tables!$B$435:$I$447, 2, 0 )</f>
        <v>3</v>
      </c>
      <c r="CB58">
        <f t="shared" si="240"/>
        <v>0</v>
      </c>
      <c r="CC58">
        <f t="shared" si="257"/>
        <v>0</v>
      </c>
      <c r="CD58">
        <f t="shared" si="258"/>
        <v>0</v>
      </c>
      <c r="CE58">
        <f t="shared" si="259"/>
        <v>0</v>
      </c>
      <c r="CG58">
        <f t="shared" si="241"/>
        <v>0</v>
      </c>
      <c r="CH58">
        <f t="shared" si="260"/>
        <v>0</v>
      </c>
      <c r="CI58">
        <f t="shared" si="261"/>
        <v>0</v>
      </c>
      <c r="CJ58">
        <f t="shared" si="262"/>
        <v>0</v>
      </c>
      <c r="CM58">
        <f t="shared" si="263"/>
        <v>8</v>
      </c>
      <c r="CN58">
        <f t="shared" si="264"/>
        <v>4</v>
      </c>
      <c r="CQ58">
        <f>VLOOKUP( $A58, Tables!$A$407:$J$431, 8, 0 )</f>
        <v>0</v>
      </c>
      <c r="CR58">
        <f>VLOOKUP( $A58, Tables!$A$407:$J$431, 9, 0 )</f>
        <v>1</v>
      </c>
      <c r="CS58" t="str">
        <f>VLOOKUP( $A58, Tables!$A$407:$J$431, 10, 0 )</f>
        <v>Elec</v>
      </c>
      <c r="CW58">
        <f t="shared" si="265"/>
        <v>0</v>
      </c>
      <c r="CX58">
        <f t="shared" si="266"/>
        <v>0</v>
      </c>
      <c r="CY58">
        <f t="shared" si="242"/>
        <v>3</v>
      </c>
      <c r="CZ58">
        <f t="shared" si="267"/>
        <v>-2</v>
      </c>
      <c r="DA58">
        <f t="shared" si="268"/>
        <v>3</v>
      </c>
      <c r="DB58" t="str">
        <f xml:space="preserve"> IF(  BI58&gt;0,  VLOOKUP( MIN( MAX( CZ58, IF( CY58&lt;0, CY58, 0+CY58*(Military&gt;1) )), DA58 ), RangeEffectTable, 2 ),  Tables!$B$391  )</f>
        <v>Rng±0, TL±0</v>
      </c>
      <c r="DD58">
        <f t="shared" si="269"/>
        <v>7</v>
      </c>
      <c r="DE58" t="str">
        <f xml:space="preserve"> IF(  $BI58&gt;0,  VLOOKUP( DE$51 - 1*($DD58&gt;10), RangeEffectTable, 2 ),  Tables!$B$391  )</f>
        <v>Rng-2, TL-2</v>
      </c>
      <c r="DF58" t="str">
        <f xml:space="preserve"> IF(  $BI58&gt;0,  VLOOKUP( DF$51 - 1*($DD58&gt;10), RangeEffectTable, 2 ),  Tables!$B$391  )</f>
        <v>Rng-1, TL-1</v>
      </c>
      <c r="DG58" t="str">
        <f xml:space="preserve"> IF(  $BI58&gt;0,  VLOOKUP( DG$51 - 1*($DD58&gt;10), RangeEffectTable, 2 ),  Tables!$B$391  )</f>
        <v>Rng±0, TL±0</v>
      </c>
      <c r="DH58" t="str">
        <f xml:space="preserve"> IF(  $BI58&gt;0,  VLOOKUP( DH$51 - 1*($DD58&gt;10), RangeEffectTable, 2 ),  Tables!$B$391  )</f>
        <v>Rng+1, TL+1</v>
      </c>
      <c r="DI58" t="str">
        <f xml:space="preserve"> IF(  $BI58&gt;0,  VLOOKUP( DI$51 - 1*($DD58&gt;10), RangeEffectTable, 2 ),  Tables!$B$391  )</f>
        <v>Rng+2, TL+2</v>
      </c>
      <c r="DJ58" t="str">
        <f xml:space="preserve"> IF(  $BI58&gt;0,  VLOOKUP( DJ$51 - 1*($DD58&gt;10), RangeEffectTable, 2 ),  Tables!$B$391  )</f>
        <v>Rng+3, TL+3</v>
      </c>
      <c r="DL58">
        <f ca="1" xml:space="preserve"> IF( $AV58=Tables!$C$189, 5, RANDBETWEEN(1,6)+RANDBETWEEN(1,6)-2 )</f>
        <v>0</v>
      </c>
      <c r="DM58">
        <f ca="1" xml:space="preserve"> IF( $AV58=Tables!$C$189, 0, RANDBETWEEN(1,6)-RANDBETWEEN(1,6)+ VLOOKUP( $AS58, Tables!$A$184:$Q$193,  14 ) )</f>
        <v>2</v>
      </c>
      <c r="DN58">
        <f ca="1" xml:space="preserve"> IF( $AV58=Tables!$C$189, 0, RANDBETWEEN(1,6)-RANDBETWEEN(1,6)+ VLOOKUP( $AS58, Tables!$A$184:$Q$193,  15 ) )</f>
        <v>4</v>
      </c>
      <c r="DO58">
        <f ca="1" xml:space="preserve"> IF( $AV58=Tables!$C$189, 0, RANDBETWEEN(1,6)-RANDBETWEEN(1,6)+ VLOOKUP( $AS58, Tables!$A$184:$Q$193,  16 ) )</f>
        <v>3</v>
      </c>
      <c r="DP58">
        <f ca="1" xml:space="preserve"> IF( $AV58=Tables!$C$189, 0, RANDBETWEEN(1,6)-RANDBETWEEN(1,6)+ VLOOKUP( $AS58, Tables!$A$184:$Q$193,  17 ) )</f>
        <v>2</v>
      </c>
      <c r="DQ58" s="44" t="str">
        <f ca="1" xml:space="preserve"> VLOOKUP( $DL58,Tables!$B$2:$C$36,2)</f>
        <v>0</v>
      </c>
      <c r="DR58" t="str">
        <f t="shared" ca="1" si="243"/>
        <v xml:space="preserve"> 2</v>
      </c>
      <c r="DS58" t="str">
        <f t="shared" ca="1" si="244"/>
        <v xml:space="preserve"> 4</v>
      </c>
      <c r="DT58" t="str">
        <f t="shared" ca="1" si="245"/>
        <v xml:space="preserve"> 3</v>
      </c>
      <c r="DU58" t="str">
        <f t="shared" ca="1" si="246"/>
        <v xml:space="preserve"> 2</v>
      </c>
      <c r="DW58" s="194">
        <f xml:space="preserve"> SUM( DX$4:DX58, -DX58 )</f>
        <v>0</v>
      </c>
      <c r="DX58" s="194">
        <v>0</v>
      </c>
      <c r="DY58" s="194">
        <f xml:space="preserve"> SUM( DZ$4:DZ58, -DZ58 )</f>
        <v>13</v>
      </c>
      <c r="DZ58" s="194">
        <v>0</v>
      </c>
      <c r="EA58" s="194">
        <f xml:space="preserve"> SUM( EB$4:EB58, -EB58 )</f>
        <v>0</v>
      </c>
      <c r="EB58" s="194">
        <v>0</v>
      </c>
      <c r="EC58" s="194">
        <f xml:space="preserve"> SUM( ED$4:ED58, -ED58 )</f>
        <v>0</v>
      </c>
      <c r="ED58" s="194">
        <v>0</v>
      </c>
      <c r="EE58" s="194">
        <f xml:space="preserve"> SUM( EF$4:EF58, -EF58 )</f>
        <v>0</v>
      </c>
      <c r="EF58" s="194">
        <v>0</v>
      </c>
      <c r="EG58" s="194">
        <f xml:space="preserve"> SUM( EH$4:EH58, -EH58 )</f>
        <v>0</v>
      </c>
      <c r="EH58" s="194">
        <v>0</v>
      </c>
      <c r="EI58" s="194">
        <f xml:space="preserve"> SUM( EJ$4:EJ58, -EJ58 )</f>
        <v>0</v>
      </c>
      <c r="EJ58" s="194">
        <v>0</v>
      </c>
      <c r="EK58" s="194">
        <f xml:space="preserve"> SUM( EL$4:EL58, -EL58 )</f>
        <v>0</v>
      </c>
      <c r="EL58" s="194">
        <v>0</v>
      </c>
      <c r="EM58" s="194">
        <f xml:space="preserve"> SUM( EN$4:EN58, -EN58 )</f>
        <v>0</v>
      </c>
      <c r="EN58" s="194">
        <v>0</v>
      </c>
      <c r="EO58" s="194">
        <f xml:space="preserve"> SUM( EP$4:EP58, -EP58 )</f>
        <v>0</v>
      </c>
      <c r="EP58" s="194">
        <v>0</v>
      </c>
      <c r="EQ58" s="194">
        <f xml:space="preserve"> SUM( ER$4:ER58, -ER58 )</f>
        <v>24</v>
      </c>
      <c r="ER58" s="194">
        <v>0</v>
      </c>
      <c r="ES58" s="194">
        <f xml:space="preserve"> SUM( ET$4:ET58, -ET58 )</f>
        <v>0</v>
      </c>
      <c r="ET58" s="194">
        <v>0</v>
      </c>
      <c r="EU58" s="194">
        <f xml:space="preserve"> SUM( EV$4:EV58, -EV58 )</f>
        <v>10</v>
      </c>
      <c r="EV58" s="194">
        <v>0</v>
      </c>
      <c r="EW58" s="194">
        <f xml:space="preserve"> SUM( EX$4:EX58, -EX58 )</f>
        <v>6</v>
      </c>
      <c r="EX58" s="194">
        <v>0</v>
      </c>
      <c r="EZ58" t="str">
        <f t="shared" si="15"/>
        <v>Jammer</v>
      </c>
      <c r="FB58" s="237">
        <f xml:space="preserve"> SUM( FC$4:FC58, -FC58 )</f>
        <v>4</v>
      </c>
      <c r="FC58" s="237">
        <f t="shared" si="270"/>
        <v>0</v>
      </c>
      <c r="FD58" s="237">
        <f xml:space="preserve"> SUM( FE$4:FE58, -FE58 )</f>
        <v>1</v>
      </c>
      <c r="FE58" s="237">
        <f t="shared" si="271"/>
        <v>0</v>
      </c>
      <c r="FF58" t="str">
        <f xml:space="preserve"> CONCATENATE( EZ58 &amp; " " &amp; IF(BL58=Tables!$D$438,"",BL58) )</f>
        <v xml:space="preserve">Jammer </v>
      </c>
    </row>
    <row r="59" spans="1:162">
      <c r="A59" s="63" t="s">
        <v>797</v>
      </c>
      <c r="B59" s="8" t="str">
        <f t="shared" si="247"/>
        <v>Std</v>
      </c>
      <c r="C59" s="63" t="s">
        <v>982</v>
      </c>
      <c r="D59" s="63" t="str">
        <f xml:space="preserve"> IF( Military&gt;-1, $DB59, Tables!$B$391 )</f>
        <v>Rng-1, TL-1</v>
      </c>
      <c r="E59" s="81">
        <v>0</v>
      </c>
      <c r="F59" s="82">
        <v>0</v>
      </c>
      <c r="G59" s="199">
        <f>1*(Military&gt;0)</f>
        <v>0</v>
      </c>
      <c r="H59" s="221">
        <f t="shared" si="235"/>
        <v>0</v>
      </c>
      <c r="I59" s="4">
        <f t="shared" si="248"/>
        <v>11</v>
      </c>
      <c r="J59" s="86">
        <f t="shared" si="249"/>
        <v>0</v>
      </c>
      <c r="K59" s="194">
        <f t="shared" si="250"/>
        <v>0</v>
      </c>
      <c r="L59" s="194">
        <f t="shared" si="251"/>
        <v>0</v>
      </c>
      <c r="M59" s="191">
        <f t="shared" si="252"/>
        <v>0</v>
      </c>
      <c r="N59" s="191">
        <f t="shared" si="253"/>
        <v>0</v>
      </c>
      <c r="O59" s="204" t="str">
        <f t="shared" si="236"/>
        <v/>
      </c>
      <c r="P59" s="196" t="str">
        <f xml:space="preserve"> IF(  J59&gt;0,  CONCATENATE( IF(AS59&lt;&gt;0,CONCATENATE(AV59," "),""), BC59, " ", BL59, " ", IF(CC59&gt;0,"Ext ",""), IF(CH59&gt;0,"De ",""), LEFT(A59,5), "-", I59, " ", IF(AR59&gt;0,"+",IF(AR59=0,"±","")), AR59, IF(CR59&gt;0,CONCATENATE(" A+",VLOOKUP( $AQ59, Tables!$A$366:$G$384, 2 ))," A--"), " ", IF(CQ59&gt;0,"P",""), IF(CR59&gt;0,"A",""), "(",CS59,")" ), ""  )</f>
        <v/>
      </c>
      <c r="S59" s="223">
        <f t="shared" si="237"/>
        <v>12</v>
      </c>
      <c r="T59" t="str">
        <f t="shared" si="238"/>
        <v/>
      </c>
      <c r="Z59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</v>
      </c>
      <c r="AA59" s="160" t="str">
        <f t="shared" si="239"/>
        <v/>
      </c>
      <c r="AB59" s="161" t="str">
        <f t="shared" si="254"/>
        <v/>
      </c>
      <c r="AC59" s="160" t="str">
        <f t="shared" si="1"/>
        <v xml:space="preserve">                               </v>
      </c>
      <c r="AD59" s="160" t="str">
        <f t="shared" si="2"/>
        <v xml:space="preserve">           </v>
      </c>
      <c r="AE59" s="162" t="str">
        <f t="shared" si="232"/>
        <v>0</v>
      </c>
      <c r="AF59" s="160" t="str">
        <f t="shared" si="3"/>
        <v xml:space="preserve">           </v>
      </c>
      <c r="AG59" s="161" t="str">
        <f t="shared" si="233"/>
        <v>0</v>
      </c>
      <c r="AH59" s="160" t="str">
        <f t="shared" si="53"/>
        <v xml:space="preserve">           </v>
      </c>
      <c r="AI59" s="163" t="str">
        <f t="shared" si="234"/>
        <v>0</v>
      </c>
      <c r="AJ59" s="160" t="str">
        <f t="shared" si="5"/>
        <v xml:space="preserve">      </v>
      </c>
      <c r="AK59" s="163" t="str">
        <f t="shared" si="14"/>
        <v/>
      </c>
      <c r="AL59" s="163"/>
      <c r="AM59" s="153"/>
      <c r="AN59" s="153"/>
      <c r="AO59" s="153">
        <f xml:space="preserve"> J59 * MAX( 1, ROUNDUP(IFERROR(K59/J59,0)/35,0) ) * (L59&gt;=0) * (A59&lt;&gt;Tables!$A$414)</f>
        <v>0</v>
      </c>
      <c r="AP59" s="153"/>
      <c r="AQ59">
        <f t="shared" si="255"/>
        <v>10</v>
      </c>
      <c r="AR59" s="68">
        <f xml:space="preserve"> 0*VLOOKUP( $AQ59, Tables!$A$366:$G$384, 2 ) + BB59 + BO59 + CE59 + CJ59</f>
        <v>0</v>
      </c>
      <c r="AS59" s="69">
        <f t="shared" si="256"/>
        <v>0</v>
      </c>
      <c r="AT59" t="s">
        <v>378</v>
      </c>
      <c r="AU59" s="8" t="str">
        <f>VLOOKUP( $AS59, Tables!$A$184:$H$193,  2 )</f>
        <v>Standard</v>
      </c>
      <c r="AV59" s="8" t="str">
        <f>VLOOKUP( $AS59, Tables!$A$184:$H$193,  3 )</f>
        <v>Std</v>
      </c>
      <c r="AW59" s="52">
        <f>VLOOKUP( $AS59, Tables!$A$184:$H$193, 4 )</f>
        <v>0</v>
      </c>
      <c r="AX59" s="8">
        <f>VLOOKUP( $AS59, Tables!$A$184:$H$193,  5 )</f>
        <v>1</v>
      </c>
      <c r="AY59" s="8">
        <f>VLOOKUP( $AS59, Tables!$A$184:$H$193, 6 )</f>
        <v>1</v>
      </c>
      <c r="AZ59" s="8">
        <f>VLOOKUP( $AS59, Tables!$A$184:$H$193, 7 )</f>
        <v>1</v>
      </c>
      <c r="BA59" s="8">
        <f>VLOOKUP( $AS59, Tables!$A$184:$H$193, 8 )</f>
        <v>1</v>
      </c>
      <c r="BB59" s="60">
        <f>VLOOKUP( $AS59, Tables!$A$184:$Q$193, 9 )</f>
        <v>0</v>
      </c>
      <c r="BC59" s="109" t="str">
        <f xml:space="preserve"> VLOOKUP( $AQ59, Tables!$C$366:$H$384, IF($BH59&gt;10,3,6) )</f>
        <v>SR</v>
      </c>
      <c r="BD59" t="s">
        <v>470</v>
      </c>
      <c r="BE59">
        <f>VLOOKUP( $A59, Tables!$A$407:$G$431, 3, 0 )</f>
        <v>12</v>
      </c>
      <c r="BF59">
        <f>VLOOKUP( $A59, Tables!$A$407:$G$431, 4, 0 )</f>
        <v>1</v>
      </c>
      <c r="BG59">
        <f>VLOOKUP( $A59, Tables!$A$407:$G$431, 5, 0 )</f>
        <v>7</v>
      </c>
      <c r="BH59">
        <f>VLOOKUP( $A59, Tables!$A$407:$G$431, 6, 0 )</f>
        <v>12</v>
      </c>
      <c r="BI59">
        <f>VLOOKUP( $A59, Tables!$A$407:$G$431, 7, 0 )</f>
        <v>1</v>
      </c>
      <c r="BJ59" t="str">
        <f>VLOOKUP( $A59, Tables!$A$407:$G$431, 2, 0 )</f>
        <v>Q</v>
      </c>
      <c r="BK59" t="s">
        <v>109</v>
      </c>
      <c r="BL59" t="str">
        <f xml:space="preserve"> IF( BI59&gt;0,  VLOOKUP( $C59, Tables!$B$435:$H$447, 3, 0 ),  Tables!$D$435  )</f>
        <v>Surf</v>
      </c>
      <c r="BM59">
        <f>VLOOKUP( $BL59, Tables!$D$435:$H$447, 2, 0 )</f>
        <v>0</v>
      </c>
      <c r="BN59">
        <f>VLOOKUP( $BL59, Tables!$D$435:$H$447, 3, 0 )</f>
        <v>1</v>
      </c>
      <c r="BO59">
        <f>VLOOKUP( $BL59, Tables!$D$435:$H$447, 4, 0 )</f>
        <v>0</v>
      </c>
      <c r="BP59">
        <f>VLOOKUP( $BL59, Tables!$D$435:$H$447, 5, 0 )</f>
        <v>0</v>
      </c>
      <c r="BR59" t="s">
        <v>618</v>
      </c>
      <c r="BS59">
        <f>VLOOKUP( $D59, Tables!$B$388:$J$394, IF( $BH59&lt;10, 2,9), 0 )</f>
        <v>-1</v>
      </c>
      <c r="BT59">
        <f>VLOOKUP( $D59, Tables!$B$388:$I$394, 3, 0 )</f>
        <v>6</v>
      </c>
      <c r="BU59">
        <f>VLOOKUP( $D59, Tables!$B$388:$I$394, 4, 0 )</f>
        <v>-1</v>
      </c>
      <c r="BV59">
        <f>VLOOKUP( $D59, Tables!$B$388:$I$394, 5, 0 )</f>
        <v>5</v>
      </c>
      <c r="BW59">
        <f>VLOOKUP( $D59, Tables!$B$388:$I$394, 6, 0 )</f>
        <v>-2</v>
      </c>
      <c r="BX59" s="85">
        <f>VLOOKUP( $D59, Tables!$B$388:$L$394, IF( $BH59&lt;10, 7, 10 ), 0 )</f>
        <v>0.5</v>
      </c>
      <c r="BY59" s="85">
        <f>VLOOKUP( $D59, Tables!$B$388:$L$394, IF( $BH59&lt;10, 8, 11 ), 0 )</f>
        <v>0.5</v>
      </c>
      <c r="CA59">
        <f xml:space="preserve"> VLOOKUP( $C59, Tables!$B$435:$I$447, 2, 0 )</f>
        <v>3</v>
      </c>
      <c r="CB59">
        <f t="shared" si="240"/>
        <v>0</v>
      </c>
      <c r="CC59">
        <f t="shared" si="257"/>
        <v>0</v>
      </c>
      <c r="CD59">
        <f t="shared" si="258"/>
        <v>0</v>
      </c>
      <c r="CE59">
        <f t="shared" si="259"/>
        <v>0</v>
      </c>
      <c r="CG59">
        <f t="shared" si="241"/>
        <v>0</v>
      </c>
      <c r="CH59">
        <f t="shared" si="260"/>
        <v>0</v>
      </c>
      <c r="CI59">
        <f t="shared" si="261"/>
        <v>0</v>
      </c>
      <c r="CJ59">
        <f t="shared" si="262"/>
        <v>0</v>
      </c>
      <c r="CM59">
        <f t="shared" si="263"/>
        <v>11</v>
      </c>
      <c r="CN59">
        <f t="shared" si="264"/>
        <v>1</v>
      </c>
      <c r="CQ59">
        <f>VLOOKUP( $A59, Tables!$A$407:$J$431, 8, 0 )</f>
        <v>1</v>
      </c>
      <c r="CR59">
        <f>VLOOKUP( $A59, Tables!$A$407:$J$431, 9, 0 )</f>
        <v>0</v>
      </c>
      <c r="CS59" t="str">
        <f>VLOOKUP( $A59, Tables!$A$407:$J$431, 10, 0 )</f>
        <v>All</v>
      </c>
      <c r="CW59">
        <f t="shared" si="265"/>
        <v>0</v>
      </c>
      <c r="CX59">
        <f t="shared" si="266"/>
        <v>0</v>
      </c>
      <c r="CY59">
        <f t="shared" si="242"/>
        <v>-1</v>
      </c>
      <c r="CZ59">
        <f t="shared" si="267"/>
        <v>-3</v>
      </c>
      <c r="DA59">
        <f t="shared" si="268"/>
        <v>2</v>
      </c>
      <c r="DB59" t="str">
        <f xml:space="preserve"> IF(  BI59&gt;0,  VLOOKUP( MIN( MAX( CZ59, IF( CY59&lt;0, CY59, 0+CY59*(Military&gt;1) )), DA59 ), RangeEffectTable, 2 ),  Tables!$B$391  )</f>
        <v>Rng-1, TL-1</v>
      </c>
      <c r="DD59">
        <f t="shared" si="269"/>
        <v>12</v>
      </c>
      <c r="DE59" t="str">
        <f xml:space="preserve"> IF(  $BI59&gt;0,  VLOOKUP( DE$51 - 1*($DD59&gt;10), RangeEffectTable, 2 ),  Tables!$B$391  )</f>
        <v>Rng-3, TL-3</v>
      </c>
      <c r="DF59" t="str">
        <f xml:space="preserve"> IF(  $BI59&gt;0,  VLOOKUP( DF$51 - 1*($DD59&gt;10), RangeEffectTable, 2 ),  Tables!$B$391  )</f>
        <v>Rng-2, TL-2</v>
      </c>
      <c r="DG59" t="str">
        <f xml:space="preserve"> IF(  $BI59&gt;0,  VLOOKUP( DG$51 - 1*($DD59&gt;10), RangeEffectTable, 2 ),  Tables!$B$391  )</f>
        <v>Rng-1, TL-1</v>
      </c>
      <c r="DH59" t="str">
        <f xml:space="preserve"> IF(  $BI59&gt;0,  VLOOKUP( DH$51 - 1*($DD59&gt;10), RangeEffectTable, 2 ),  Tables!$B$391  )</f>
        <v>Rng±0, TL±0</v>
      </c>
      <c r="DI59" t="str">
        <f xml:space="preserve"> IF(  $BI59&gt;0,  VLOOKUP( DI$51 - 1*($DD59&gt;10), RangeEffectTable, 2 ),  Tables!$B$391  )</f>
        <v>Rng+1, TL+1</v>
      </c>
      <c r="DJ59" t="str">
        <f xml:space="preserve"> IF(  $BI59&gt;0,  VLOOKUP( DJ$51 - 1*($DD59&gt;10), RangeEffectTable, 2 ),  Tables!$B$391  )</f>
        <v>Rng+2, TL+2</v>
      </c>
      <c r="DL59">
        <f ca="1" xml:space="preserve"> IF( $AV59=Tables!$C$189, 5, RANDBETWEEN(1,6)+RANDBETWEEN(1,6)-2 )</f>
        <v>1</v>
      </c>
      <c r="DM59">
        <f ca="1" xml:space="preserve"> IF( $AV59=Tables!$C$189, 0, RANDBETWEEN(1,6)-RANDBETWEEN(1,6)+ VLOOKUP( $AS59, Tables!$A$184:$Q$193,  14 ) )</f>
        <v>-2</v>
      </c>
      <c r="DN59">
        <f ca="1" xml:space="preserve"> IF( $AV59=Tables!$C$189, 0, RANDBETWEEN(1,6)-RANDBETWEEN(1,6)+ VLOOKUP( $AS59, Tables!$A$184:$Q$193,  15 ) )</f>
        <v>1</v>
      </c>
      <c r="DO59">
        <f ca="1" xml:space="preserve"> IF( $AV59=Tables!$C$189, 0, RANDBETWEEN(1,6)-RANDBETWEEN(1,6)+ VLOOKUP( $AS59, Tables!$A$184:$Q$193,  16 ) )</f>
        <v>3</v>
      </c>
      <c r="DP59">
        <f ca="1" xml:space="preserve"> IF( $AV59=Tables!$C$189, 0, RANDBETWEEN(1,6)-RANDBETWEEN(1,6)+ VLOOKUP( $AS59, Tables!$A$184:$Q$193,  17 ) )</f>
        <v>-5</v>
      </c>
      <c r="DQ59" s="44" t="str">
        <f ca="1" xml:space="preserve"> VLOOKUP( $DL59,Tables!$B$2:$C$36,2)</f>
        <v>1</v>
      </c>
      <c r="DR59" t="str">
        <f t="shared" ca="1" si="243"/>
        <v>-2</v>
      </c>
      <c r="DS59" t="str">
        <f t="shared" ca="1" si="244"/>
        <v xml:space="preserve"> 1</v>
      </c>
      <c r="DT59" t="str">
        <f t="shared" ca="1" si="245"/>
        <v xml:space="preserve"> 3</v>
      </c>
      <c r="DU59" t="str">
        <f t="shared" ca="1" si="246"/>
        <v>-5</v>
      </c>
      <c r="DW59" s="194">
        <f xml:space="preserve"> SUM( DX$4:DX59, -DX59 )</f>
        <v>0</v>
      </c>
      <c r="DX59" s="194">
        <v>0</v>
      </c>
      <c r="DY59" s="194">
        <f xml:space="preserve"> SUM( DZ$4:DZ59, -DZ59 )</f>
        <v>13</v>
      </c>
      <c r="DZ59" s="194">
        <v>0</v>
      </c>
      <c r="EA59" s="194">
        <f xml:space="preserve"> SUM( EB$4:EB59, -EB59 )</f>
        <v>0</v>
      </c>
      <c r="EB59" s="194">
        <v>0</v>
      </c>
      <c r="EC59" s="194">
        <f xml:space="preserve"> SUM( ED$4:ED59, -ED59 )</f>
        <v>0</v>
      </c>
      <c r="ED59" s="194">
        <v>0</v>
      </c>
      <c r="EE59" s="194">
        <f xml:space="preserve"> SUM( EF$4:EF59, -EF59 )</f>
        <v>0</v>
      </c>
      <c r="EF59" s="194">
        <v>0</v>
      </c>
      <c r="EG59" s="194">
        <f xml:space="preserve"> SUM( EH$4:EH59, -EH59 )</f>
        <v>0</v>
      </c>
      <c r="EH59" s="194">
        <v>0</v>
      </c>
      <c r="EI59" s="194">
        <f xml:space="preserve"> SUM( EJ$4:EJ59, -EJ59 )</f>
        <v>0</v>
      </c>
      <c r="EJ59" s="194">
        <v>0</v>
      </c>
      <c r="EK59" s="194">
        <f xml:space="preserve"> SUM( EL$4:EL59, -EL59 )</f>
        <v>0</v>
      </c>
      <c r="EL59" s="194">
        <v>0</v>
      </c>
      <c r="EM59" s="194">
        <f xml:space="preserve"> SUM( EN$4:EN59, -EN59 )</f>
        <v>0</v>
      </c>
      <c r="EN59" s="194">
        <v>0</v>
      </c>
      <c r="EO59" s="194">
        <f xml:space="preserve"> SUM( EP$4:EP59, -EP59 )</f>
        <v>0</v>
      </c>
      <c r="EP59" s="194">
        <v>0</v>
      </c>
      <c r="EQ59" s="194">
        <f xml:space="preserve"> SUM( ER$4:ER59, -ER59 )</f>
        <v>24</v>
      </c>
      <c r="ER59" s="194">
        <v>0</v>
      </c>
      <c r="ES59" s="194">
        <f xml:space="preserve"> SUM( ET$4:ET59, -ET59 )</f>
        <v>0</v>
      </c>
      <c r="ET59" s="194">
        <v>0</v>
      </c>
      <c r="EU59" s="194">
        <f xml:space="preserve"> SUM( EV$4:EV59, -EV59 )</f>
        <v>10</v>
      </c>
      <c r="EV59" s="194">
        <v>0</v>
      </c>
      <c r="EW59" s="194">
        <f xml:space="preserve"> SUM( EX$4:EX59, -EX59 )</f>
        <v>6</v>
      </c>
      <c r="EX59" s="194">
        <v>0</v>
      </c>
      <c r="EZ59" t="str">
        <f t="shared" si="15"/>
        <v>Stealth Mask</v>
      </c>
      <c r="FB59" s="237">
        <f xml:space="preserve"> SUM( FC$4:FC59, -FC59 )</f>
        <v>4</v>
      </c>
      <c r="FC59" s="237">
        <f t="shared" si="270"/>
        <v>0</v>
      </c>
      <c r="FD59" s="237">
        <f xml:space="preserve"> SUM( FE$4:FE59, -FE59 )</f>
        <v>1</v>
      </c>
      <c r="FE59" s="237">
        <f t="shared" si="271"/>
        <v>0</v>
      </c>
      <c r="FF59" t="str">
        <f xml:space="preserve"> CONCATENATE( EZ59 &amp; " " &amp; IF(BL59=Tables!$D$438,"",BL59) )</f>
        <v xml:space="preserve">Stealth Mask </v>
      </c>
    </row>
    <row r="60" spans="1:162">
      <c r="C60" s="15"/>
      <c r="D60" s="15"/>
      <c r="E60" s="66"/>
      <c r="F60" s="66"/>
      <c r="G60" s="3"/>
      <c r="H60" s="26"/>
      <c r="I60" s="4"/>
      <c r="J60" s="3"/>
      <c r="K60" s="51"/>
      <c r="L60" s="51"/>
      <c r="M60" s="3"/>
      <c r="N60" s="48"/>
      <c r="O60" s="3"/>
      <c r="P60" s="1"/>
      <c r="Q60" s="1"/>
      <c r="R60" s="1"/>
      <c r="S60" s="223"/>
      <c r="T60" s="1"/>
      <c r="U60" s="1"/>
      <c r="V60" s="1"/>
      <c r="W60" s="1"/>
      <c r="X60" s="1"/>
      <c r="Y60" s="128"/>
      <c r="Z60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                                                                         </v>
      </c>
      <c r="AA60" s="160" t="str">
        <f xml:space="preserve"> IF( OR(TRUE), CONCATENATE( newline &amp; AB60 &amp; AC60 &amp; AD60 &amp; AE60 &amp; AF60 &amp; AG60 &amp; AH60 &amp; AI60 &amp; AJ60 &amp; AK60 ), "" )</f>
        <v xml:space="preserve">
                                                                         </v>
      </c>
      <c r="AB60" s="161" t="str">
        <f t="shared" si="231"/>
        <v/>
      </c>
      <c r="AC60" s="160" t="str">
        <f t="shared" si="1"/>
        <v xml:space="preserve">                               </v>
      </c>
      <c r="AD60" s="160" t="str">
        <f t="shared" si="2"/>
        <v xml:space="preserve">            </v>
      </c>
      <c r="AE60" s="162" t="str">
        <f t="shared" si="232"/>
        <v/>
      </c>
      <c r="AF60" s="160" t="str">
        <f t="shared" si="3"/>
        <v xml:space="preserve">            </v>
      </c>
      <c r="AG60" s="161" t="str">
        <f t="shared" si="233"/>
        <v/>
      </c>
      <c r="AH60" s="160" t="str">
        <f t="shared" si="53"/>
        <v xml:space="preserve">            </v>
      </c>
      <c r="AI60" s="163" t="str">
        <f t="shared" si="234"/>
        <v/>
      </c>
      <c r="AJ60" s="160" t="str">
        <f t="shared" si="5"/>
        <v xml:space="preserve">      </v>
      </c>
      <c r="AK60" s="163" t="str">
        <f t="shared" si="14"/>
        <v/>
      </c>
      <c r="AL60" s="163"/>
      <c r="AM60" s="153"/>
      <c r="AN60" s="153"/>
      <c r="AO60" s="153"/>
      <c r="AP60" s="153"/>
      <c r="AR60" s="9"/>
      <c r="DL60"/>
      <c r="DQ60" s="44"/>
      <c r="DW60" s="194">
        <f xml:space="preserve"> SUM( DX$4:DX60, -DX60 )</f>
        <v>0</v>
      </c>
      <c r="DX60" s="194">
        <v>0</v>
      </c>
      <c r="DY60" s="194">
        <f xml:space="preserve"> SUM( DZ$4:DZ60, -DZ60 )</f>
        <v>13</v>
      </c>
      <c r="DZ60" s="194">
        <v>0</v>
      </c>
      <c r="EA60" s="194">
        <f xml:space="preserve"> SUM( EB$4:EB60, -EB60 )</f>
        <v>0</v>
      </c>
      <c r="EB60" s="194">
        <v>0</v>
      </c>
      <c r="EC60" s="194">
        <f xml:space="preserve"> SUM( ED$4:ED60, -ED60 )</f>
        <v>0</v>
      </c>
      <c r="ED60" s="194">
        <v>0</v>
      </c>
      <c r="EE60" s="194">
        <f xml:space="preserve"> SUM( EF$4:EF60, -EF60 )</f>
        <v>0</v>
      </c>
      <c r="EF60" s="194">
        <v>0</v>
      </c>
      <c r="EG60" s="194">
        <f xml:space="preserve"> SUM( EH$4:EH60, -EH60 )</f>
        <v>0</v>
      </c>
      <c r="EH60" s="194">
        <v>0</v>
      </c>
      <c r="EI60" s="194">
        <f xml:space="preserve"> SUM( EJ$4:EJ60, -EJ60 )</f>
        <v>0</v>
      </c>
      <c r="EJ60" s="194">
        <v>0</v>
      </c>
      <c r="EK60" s="194">
        <f xml:space="preserve"> SUM( EL$4:EL60, -EL60 )</f>
        <v>0</v>
      </c>
      <c r="EL60" s="194">
        <v>0</v>
      </c>
      <c r="EM60" s="194">
        <f xml:space="preserve"> SUM( EN$4:EN60, -EN60 )</f>
        <v>0</v>
      </c>
      <c r="EN60" s="194">
        <v>0</v>
      </c>
      <c r="EO60" s="194">
        <f xml:space="preserve"> SUM( EP$4:EP60, -EP60 )</f>
        <v>0</v>
      </c>
      <c r="EP60" s="194">
        <v>0</v>
      </c>
      <c r="EQ60" s="194">
        <f xml:space="preserve"> SUM( ER$4:ER60, -ER60 )</f>
        <v>24</v>
      </c>
      <c r="ER60" s="194">
        <v>0</v>
      </c>
      <c r="ES60" s="194">
        <f xml:space="preserve"> SUM( ET$4:ET60, -ET60 )</f>
        <v>0</v>
      </c>
      <c r="ET60" s="194">
        <v>0</v>
      </c>
      <c r="EU60" s="194">
        <f xml:space="preserve"> SUM( EV$4:EV60, -EV60 )</f>
        <v>10</v>
      </c>
      <c r="EV60" s="194">
        <v>0</v>
      </c>
      <c r="EW60" s="194">
        <f xml:space="preserve"> SUM( EX$4:EX60, -EX60 )</f>
        <v>6</v>
      </c>
      <c r="EX60" s="194">
        <v>0</v>
      </c>
      <c r="EZ60">
        <f t="shared" si="15"/>
        <v>0</v>
      </c>
      <c r="FB60" s="237">
        <f xml:space="preserve"> SUM( FC$4:FC60, -FC60 )</f>
        <v>4</v>
      </c>
      <c r="FC60" s="237">
        <v>0</v>
      </c>
      <c r="FD60" s="237">
        <f xml:space="preserve"> SUM( FE$4:FE60, -FE60 )</f>
        <v>1</v>
      </c>
      <c r="FE60" s="237">
        <v>0</v>
      </c>
      <c r="FF60">
        <f t="shared" si="16"/>
        <v>0</v>
      </c>
    </row>
    <row r="61" spans="1:162">
      <c r="A61" s="54" t="s">
        <v>858</v>
      </c>
      <c r="C61" s="110">
        <f xml:space="preserve"> SUM( K61:K66 )</f>
        <v>12</v>
      </c>
      <c r="D61" s="15" t="s">
        <v>277</v>
      </c>
      <c r="E61" s="66"/>
      <c r="F61" s="66"/>
      <c r="G61" s="58">
        <f xml:space="preserve">  4-1*(Military&gt;0)-1*(Military&gt;1)</f>
        <v>4</v>
      </c>
      <c r="H61" s="28"/>
      <c r="I61" s="59">
        <f xml:space="preserve"> IF( SUM(J62:J65,-J65) &gt; 0, INT( SUM( K62:K66 ) / SUM(I63) ), 0 )</f>
        <v>4</v>
      </c>
      <c r="J61" s="48"/>
      <c r="K61" s="51"/>
      <c r="L61" s="51"/>
      <c r="M61" s="48"/>
      <c r="N61" s="48"/>
      <c r="O61" s="48"/>
      <c r="P61" s="1"/>
      <c r="Q61" s="1"/>
      <c r="R61" s="1"/>
      <c r="S61" s="223"/>
      <c r="T61" s="1"/>
      <c r="U61" s="1"/>
      <c r="V61" s="1"/>
      <c r="W61" s="1"/>
      <c r="X61" s="1"/>
      <c r="Y61" s="128"/>
      <c r="Z61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</v>
      </c>
      <c r="AA61" s="160" t="str">
        <f xml:space="preserve"> IF( OR(TRUE), CONCATENATE( newline &amp; AB61 &amp; AC61 &amp; AD61 &amp; AE61 &amp; AF61 &amp; AG61 &amp; AH61 &amp; AI61 &amp; AJ61 &amp; AK61 ), "" )</f>
        <v xml:space="preserve">
Crew:                             Comfort 4                              </v>
      </c>
      <c r="AB61" s="161" t="str">
        <f t="shared" si="231"/>
        <v>Crew:</v>
      </c>
      <c r="AC61" s="160" t="str">
        <f t="shared" si="1"/>
        <v xml:space="preserve">                          </v>
      </c>
      <c r="AD61" s="160" t="str">
        <f t="shared" si="2"/>
        <v xml:space="preserve">   </v>
      </c>
      <c r="AE61" s="162" t="str">
        <f xml:space="preserve"> CONCATENATE( D61 &amp; " " &amp; I61 )</f>
        <v>Comfort 4</v>
      </c>
      <c r="AF61" s="160" t="str">
        <f t="shared" si="3"/>
        <v xml:space="preserve">            </v>
      </c>
      <c r="AG61" s="161" t="str">
        <f t="shared" si="233"/>
        <v/>
      </c>
      <c r="AH61" s="160" t="str">
        <f t="shared" si="53"/>
        <v xml:space="preserve">            </v>
      </c>
      <c r="AI61" s="163" t="str">
        <f t="shared" si="234"/>
        <v/>
      </c>
      <c r="AJ61" s="160" t="str">
        <f t="shared" si="5"/>
        <v xml:space="preserve">      </v>
      </c>
      <c r="AK61" s="163" t="str">
        <f t="shared" si="14"/>
        <v/>
      </c>
      <c r="AL61" s="163"/>
      <c r="AM61" s="153"/>
      <c r="AN61" s="153"/>
      <c r="AO61" s="153"/>
      <c r="AP61" s="153"/>
      <c r="AR61" s="31"/>
      <c r="DL61"/>
      <c r="DQ61" s="44"/>
      <c r="DW61" s="194">
        <f xml:space="preserve"> SUM( DX$4:DX61, -DX61 )</f>
        <v>0</v>
      </c>
      <c r="DX61" s="194">
        <v>0</v>
      </c>
      <c r="DY61" s="194">
        <f xml:space="preserve"> SUM( DZ$4:DZ61, -DZ61 )</f>
        <v>13</v>
      </c>
      <c r="DZ61" s="194">
        <v>0</v>
      </c>
      <c r="EA61" s="194">
        <f xml:space="preserve"> SUM( EB$4:EB61, -EB61 )</f>
        <v>0</v>
      </c>
      <c r="EB61" s="194">
        <f>K61</f>
        <v>0</v>
      </c>
      <c r="EC61" s="194">
        <f xml:space="preserve"> SUM( ED$4:ED61, -ED61 )</f>
        <v>0</v>
      </c>
      <c r="ED61" s="194">
        <v>0</v>
      </c>
      <c r="EE61" s="194">
        <f xml:space="preserve"> SUM( EF$4:EF61, -EF61 )</f>
        <v>0</v>
      </c>
      <c r="EF61" s="194">
        <v>0</v>
      </c>
      <c r="EG61" s="194">
        <f xml:space="preserve"> SUM( EH$4:EH61, -EH61 )</f>
        <v>0</v>
      </c>
      <c r="EH61" s="194">
        <v>0</v>
      </c>
      <c r="EI61" s="194">
        <f xml:space="preserve"> SUM( EJ$4:EJ61, -EJ61 )</f>
        <v>0</v>
      </c>
      <c r="EJ61" s="194">
        <v>0</v>
      </c>
      <c r="EK61" s="194">
        <f xml:space="preserve"> SUM( EL$4:EL61, -EL61 )</f>
        <v>0</v>
      </c>
      <c r="EL61" s="194">
        <v>0</v>
      </c>
      <c r="EM61" s="194">
        <f xml:space="preserve"> SUM( EN$4:EN61, -EN61 )</f>
        <v>0</v>
      </c>
      <c r="EN61" s="194">
        <v>0</v>
      </c>
      <c r="EO61" s="194">
        <f xml:space="preserve"> SUM( EP$4:EP61, -EP61 )</f>
        <v>0</v>
      </c>
      <c r="EP61" s="194">
        <v>0</v>
      </c>
      <c r="EQ61" s="194">
        <f xml:space="preserve"> SUM( ER$4:ER61, -ER61 )</f>
        <v>24</v>
      </c>
      <c r="ER61" s="194">
        <v>0</v>
      </c>
      <c r="ES61" s="194">
        <f xml:space="preserve"> SUM( ET$4:ET61, -ET61 )</f>
        <v>0</v>
      </c>
      <c r="ET61" s="194">
        <v>0</v>
      </c>
      <c r="EU61" s="194">
        <f xml:space="preserve"> SUM( EV$4:EV61, -EV61 )</f>
        <v>10</v>
      </c>
      <c r="EV61" s="194">
        <v>0</v>
      </c>
      <c r="EW61" s="194">
        <f xml:space="preserve"> SUM( EX$4:EX61, -EX61 )</f>
        <v>6</v>
      </c>
      <c r="EX61" s="194">
        <v>0</v>
      </c>
      <c r="EZ61" t="str">
        <f t="shared" si="15"/>
        <v>Crew:</v>
      </c>
      <c r="FB61" s="237">
        <f xml:space="preserve"> SUM( FC$4:FC61, -FC61 )</f>
        <v>4</v>
      </c>
      <c r="FC61" s="237">
        <v>0</v>
      </c>
      <c r="FD61" s="237">
        <f xml:space="preserve"> SUM( FE$4:FE61, -FE61 )</f>
        <v>1</v>
      </c>
      <c r="FE61" s="237">
        <v>0</v>
      </c>
      <c r="FF61" t="str">
        <f t="shared" si="16"/>
        <v>Crew:</v>
      </c>
    </row>
    <row r="62" spans="1:162">
      <c r="A62" t="s">
        <v>735</v>
      </c>
      <c r="C62" s="15"/>
      <c r="D62" s="15"/>
      <c r="E62" s="66"/>
      <c r="F62" s="66"/>
      <c r="G62" s="20">
        <v>0</v>
      </c>
      <c r="H62" s="28"/>
      <c r="I62" s="4"/>
      <c r="J62" s="21">
        <f>G62</f>
        <v>0</v>
      </c>
      <c r="K62" s="51">
        <f>J62*6</f>
        <v>0</v>
      </c>
      <c r="L62" s="51">
        <f>J62*0.4</f>
        <v>0</v>
      </c>
      <c r="M62" s="21"/>
      <c r="N62" s="48"/>
      <c r="O62" s="21"/>
      <c r="P62" s="34"/>
      <c r="Q62" s="36"/>
      <c r="R62" s="106"/>
      <c r="S62" s="226"/>
      <c r="T62" s="106"/>
      <c r="U62" s="106"/>
      <c r="V62" s="106"/>
      <c r="W62" s="106"/>
      <c r="X62" s="106"/>
      <c r="Y62" s="156"/>
      <c r="Z62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</v>
      </c>
      <c r="AA62" s="160" t="str">
        <f t="shared" ref="AA62:AA66" si="272" xml:space="preserve"> IF( OR(J62&lt;&gt;0,K62&lt;&gt;0,L62&lt;&gt;0), CONCATENATE( newline &amp; AB62 &amp; AC62 &amp; AD62 &amp; AE62 &amp; AF62 &amp; AG62 &amp; AH62 &amp; AI62 &amp; AJ62 &amp; AK62 ), "" )</f>
        <v/>
      </c>
      <c r="AB62" s="161" t="str">
        <f xml:space="preserve"> CONCATENATE( A62 &amp; " " &amp; C62 )</f>
        <v xml:space="preserve">Staterooms, Luxury </v>
      </c>
      <c r="AC62" s="160" t="str">
        <f t="shared" si="1"/>
        <v xml:space="preserve">            </v>
      </c>
      <c r="AD62" s="160" t="str">
        <f t="shared" si="2"/>
        <v xml:space="preserve">           </v>
      </c>
      <c r="AE62" s="162" t="str">
        <f t="shared" si="232"/>
        <v>0</v>
      </c>
      <c r="AF62" s="160" t="str">
        <f t="shared" si="3"/>
        <v xml:space="preserve">           </v>
      </c>
      <c r="AG62" s="161" t="str">
        <f t="shared" si="233"/>
        <v>0</v>
      </c>
      <c r="AH62" s="160" t="str">
        <f t="shared" si="53"/>
        <v xml:space="preserve">           </v>
      </c>
      <c r="AI62" s="163" t="str">
        <f t="shared" si="234"/>
        <v>0</v>
      </c>
      <c r="AJ62" s="160" t="str">
        <f t="shared" si="5"/>
        <v xml:space="preserve">      </v>
      </c>
      <c r="AK62" s="163" t="str">
        <f t="shared" si="14"/>
        <v/>
      </c>
      <c r="AL62" s="163"/>
      <c r="AM62" s="153"/>
      <c r="AN62" s="153"/>
      <c r="AO62" s="153"/>
      <c r="AP62" s="153"/>
      <c r="AR62" s="31"/>
      <c r="AV62" s="261">
        <f>J62</f>
        <v>0</v>
      </c>
      <c r="DL62"/>
      <c r="DQ62" s="44"/>
      <c r="DW62" s="194">
        <f xml:space="preserve"> SUM( DX$4:DX62, -DX62 )</f>
        <v>0</v>
      </c>
      <c r="DX62" s="194">
        <v>0</v>
      </c>
      <c r="DY62" s="194">
        <f xml:space="preserve"> SUM( DZ$4:DZ62, -DZ62 )</f>
        <v>13</v>
      </c>
      <c r="DZ62" s="194">
        <v>0</v>
      </c>
      <c r="EA62" s="194">
        <f xml:space="preserve"> SUM( EB$4:EB62, -EB62 )</f>
        <v>0</v>
      </c>
      <c r="EB62" s="194">
        <f t="shared" ref="EB62:EB66" si="273">K62</f>
        <v>0</v>
      </c>
      <c r="EC62" s="194">
        <f xml:space="preserve"> SUM( ED$4:ED62, -ED62 )</f>
        <v>0</v>
      </c>
      <c r="ED62" s="194">
        <v>0</v>
      </c>
      <c r="EE62" s="194">
        <f xml:space="preserve"> SUM( EF$4:EF62, -EF62 )</f>
        <v>0</v>
      </c>
      <c r="EF62" s="194">
        <v>0</v>
      </c>
      <c r="EG62" s="194">
        <f xml:space="preserve"> SUM( EH$4:EH62, -EH62 )</f>
        <v>0</v>
      </c>
      <c r="EH62" s="194">
        <v>0</v>
      </c>
      <c r="EI62" s="194">
        <f xml:space="preserve"> SUM( EJ$4:EJ62, -EJ62 )</f>
        <v>0</v>
      </c>
      <c r="EJ62" s="194">
        <v>0</v>
      </c>
      <c r="EK62" s="194">
        <f xml:space="preserve"> SUM( EL$4:EL62, -EL62 )</f>
        <v>0</v>
      </c>
      <c r="EL62" s="194">
        <v>0</v>
      </c>
      <c r="EM62" s="194">
        <f xml:space="preserve"> SUM( EN$4:EN62, -EN62 )</f>
        <v>0</v>
      </c>
      <c r="EN62" s="194">
        <v>0</v>
      </c>
      <c r="EO62" s="194">
        <f xml:space="preserve"> SUM( EP$4:EP62, -EP62 )</f>
        <v>0</v>
      </c>
      <c r="EP62" s="194">
        <v>0</v>
      </c>
      <c r="EQ62" s="194">
        <f xml:space="preserve"> SUM( ER$4:ER62, -ER62 )</f>
        <v>24</v>
      </c>
      <c r="ER62" s="194">
        <v>0</v>
      </c>
      <c r="ES62" s="194">
        <f xml:space="preserve"> SUM( ET$4:ET62, -ET62 )</f>
        <v>0</v>
      </c>
      <c r="ET62" s="194">
        <v>0</v>
      </c>
      <c r="EU62" s="194">
        <f xml:space="preserve"> SUM( EV$4:EV62, -EV62 )</f>
        <v>10</v>
      </c>
      <c r="EV62" s="194">
        <v>0</v>
      </c>
      <c r="EW62" s="194">
        <f xml:space="preserve"> SUM( EX$4:EX62, -EX62 )</f>
        <v>6</v>
      </c>
      <c r="EX62" s="194">
        <v>0</v>
      </c>
      <c r="EZ62" t="s">
        <v>356</v>
      </c>
      <c r="FB62" s="237">
        <f xml:space="preserve"> SUM( FC$4:FC62, -FC62 )</f>
        <v>4</v>
      </c>
      <c r="FC62" s="237">
        <v>0</v>
      </c>
      <c r="FD62" s="237">
        <f xml:space="preserve"> SUM( FE$4:FE62, -FE62 )</f>
        <v>1</v>
      </c>
      <c r="FE62" s="237">
        <v>0</v>
      </c>
      <c r="FF62" t="str">
        <f t="shared" si="16"/>
        <v>Cr Staterooms, Luxury</v>
      </c>
    </row>
    <row r="63" spans="1:162">
      <c r="A63" t="s">
        <v>128</v>
      </c>
      <c r="C63" s="15"/>
      <c r="D63" s="260">
        <f xml:space="preserve"> 1 + 1*(G61&lt;4) + 1*(G61&lt;3) + 1*(G61&lt;2)</f>
        <v>1</v>
      </c>
      <c r="E63" s="66"/>
      <c r="F63" s="66"/>
      <c r="G63" s="11">
        <f xml:space="preserve"> IF( DriveCapacity&gt;=100, 100%, 0% )</f>
        <v>1</v>
      </c>
      <c r="H63" s="26"/>
      <c r="I63" s="4">
        <f xml:space="preserve"> Crew * G63</f>
        <v>3</v>
      </c>
      <c r="J63" s="3">
        <f>MAX( 0, ROUNDUP( ( I63 - SUM(AV61:AV66) ) / D63, 0 ) )</f>
        <v>3</v>
      </c>
      <c r="K63" s="51">
        <f>J63 * 2</f>
        <v>6</v>
      </c>
      <c r="L63" s="51">
        <f>J63 * 0.1</f>
        <v>0.30000000000000004</v>
      </c>
      <c r="M63" s="3"/>
      <c r="N63" s="48"/>
      <c r="O63" s="3"/>
      <c r="P63" s="34"/>
      <c r="Q63" s="36"/>
      <c r="R63" s="106"/>
      <c r="S63" s="226"/>
      <c r="T63" s="106"/>
      <c r="U63" s="106"/>
      <c r="V63" s="106"/>
      <c r="W63" s="106"/>
      <c r="X63" s="106"/>
      <c r="Y63" s="156"/>
      <c r="Z63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</v>
      </c>
      <c r="AA63" s="160" t="str">
        <f t="shared" si="272"/>
        <v xml:space="preserve">
Staterooms                                3           6         0,3      </v>
      </c>
      <c r="AB63" s="161" t="str">
        <f t="shared" ref="AB63:AB66" si="274" xml:space="preserve"> CONCATENATE( A63 &amp; " " &amp; C63 )</f>
        <v xml:space="preserve">Staterooms </v>
      </c>
      <c r="AC63" s="160" t="str">
        <f t="shared" si="1"/>
        <v xml:space="preserve">                    </v>
      </c>
      <c r="AD63" s="160" t="str">
        <f t="shared" si="2"/>
        <v xml:space="preserve">           </v>
      </c>
      <c r="AE63" s="162" t="str">
        <f t="shared" si="232"/>
        <v>3</v>
      </c>
      <c r="AF63" s="160" t="str">
        <f t="shared" si="3"/>
        <v xml:space="preserve">           </v>
      </c>
      <c r="AG63" s="161" t="str">
        <f t="shared" si="233"/>
        <v>6</v>
      </c>
      <c r="AH63" s="160" t="str">
        <f t="shared" si="53"/>
        <v xml:space="preserve">         </v>
      </c>
      <c r="AI63" s="163" t="str">
        <f t="shared" si="234"/>
        <v>0,3</v>
      </c>
      <c r="AJ63" s="160" t="str">
        <f t="shared" si="5"/>
        <v xml:space="preserve">      </v>
      </c>
      <c r="AK63" s="163" t="str">
        <f t="shared" si="14"/>
        <v/>
      </c>
      <c r="AL63" s="163"/>
      <c r="AM63" s="153"/>
      <c r="AN63" s="153"/>
      <c r="AO63" s="153"/>
      <c r="AP63" s="153"/>
      <c r="AR63" s="9"/>
      <c r="DL63"/>
      <c r="DQ63" s="44"/>
      <c r="DW63" s="194">
        <f xml:space="preserve"> SUM( DX$4:DX63, -DX63 )</f>
        <v>0</v>
      </c>
      <c r="DX63" s="194">
        <v>0</v>
      </c>
      <c r="DY63" s="194">
        <f xml:space="preserve"> SUM( DZ$4:DZ63, -DZ63 )</f>
        <v>13</v>
      </c>
      <c r="DZ63" s="194">
        <v>0</v>
      </c>
      <c r="EA63" s="194">
        <f xml:space="preserve"> SUM( EB$4:EB63, -EB63 )</f>
        <v>0</v>
      </c>
      <c r="EB63" s="194">
        <f t="shared" si="273"/>
        <v>6</v>
      </c>
      <c r="EC63" s="194">
        <f xml:space="preserve"> SUM( ED$4:ED63, -ED63 )</f>
        <v>0</v>
      </c>
      <c r="ED63" s="194">
        <v>0</v>
      </c>
      <c r="EE63" s="194">
        <f xml:space="preserve"> SUM( EF$4:EF63, -EF63 )</f>
        <v>0</v>
      </c>
      <c r="EF63" s="194">
        <v>0</v>
      </c>
      <c r="EG63" s="194">
        <f xml:space="preserve"> SUM( EH$4:EH63, -EH63 )</f>
        <v>0</v>
      </c>
      <c r="EH63" s="194">
        <v>0</v>
      </c>
      <c r="EI63" s="194">
        <f xml:space="preserve"> SUM( EJ$4:EJ63, -EJ63 )</f>
        <v>0</v>
      </c>
      <c r="EJ63" s="194">
        <v>0</v>
      </c>
      <c r="EK63" s="194">
        <f xml:space="preserve"> SUM( EL$4:EL63, -EL63 )</f>
        <v>0</v>
      </c>
      <c r="EL63" s="194">
        <v>0</v>
      </c>
      <c r="EM63" s="194">
        <f xml:space="preserve"> SUM( EN$4:EN63, -EN63 )</f>
        <v>0</v>
      </c>
      <c r="EN63" s="194">
        <v>0</v>
      </c>
      <c r="EO63" s="194">
        <f xml:space="preserve"> SUM( EP$4:EP63, -EP63 )</f>
        <v>0</v>
      </c>
      <c r="EP63" s="194">
        <v>0</v>
      </c>
      <c r="EQ63" s="194">
        <f xml:space="preserve"> SUM( ER$4:ER63, -ER63 )</f>
        <v>24</v>
      </c>
      <c r="ER63" s="194">
        <v>0</v>
      </c>
      <c r="ES63" s="194">
        <f xml:space="preserve"> SUM( ET$4:ET63, -ET63 )</f>
        <v>0</v>
      </c>
      <c r="ET63" s="194">
        <v>0</v>
      </c>
      <c r="EU63" s="194">
        <f xml:space="preserve"> SUM( EV$4:EV63, -EV63 )</f>
        <v>10</v>
      </c>
      <c r="EV63" s="194">
        <v>0</v>
      </c>
      <c r="EW63" s="194">
        <f xml:space="preserve"> SUM( EX$4:EX63, -EX63 )</f>
        <v>6</v>
      </c>
      <c r="EX63" s="194">
        <v>0</v>
      </c>
      <c r="EZ63" t="s">
        <v>300</v>
      </c>
      <c r="FB63" s="237">
        <f xml:space="preserve"> SUM( FC$4:FC63, -FC63 )</f>
        <v>4</v>
      </c>
      <c r="FC63" s="237">
        <v>0</v>
      </c>
      <c r="FD63" s="237">
        <f xml:space="preserve"> SUM( FE$4:FE63, -FE63 )</f>
        <v>1</v>
      </c>
      <c r="FE63" s="237">
        <v>0</v>
      </c>
      <c r="FF63" t="str">
        <f t="shared" si="16"/>
        <v>Cr Staterooms</v>
      </c>
    </row>
    <row r="64" spans="1:162">
      <c r="A64" s="107" t="s">
        <v>145</v>
      </c>
      <c r="B64" s="149"/>
      <c r="C64" s="245"/>
      <c r="D64" s="197">
        <f>AT64</f>
        <v>1</v>
      </c>
      <c r="E64" s="259"/>
      <c r="F64" s="259"/>
      <c r="G64" s="199">
        <v>0</v>
      </c>
      <c r="H64" s="237"/>
      <c r="I64" s="4"/>
      <c r="J64" s="191">
        <f xml:space="preserve"> G64</f>
        <v>0</v>
      </c>
      <c r="K64" s="194">
        <f xml:space="preserve"> J64 * AR64</f>
        <v>0</v>
      </c>
      <c r="L64" s="194">
        <f xml:space="preserve"> J64 * AS64</f>
        <v>0</v>
      </c>
      <c r="M64" s="191"/>
      <c r="N64" s="191"/>
      <c r="O64" s="191"/>
      <c r="P64" s="106"/>
      <c r="Q64" s="106"/>
      <c r="R64" s="106"/>
      <c r="S64" s="226"/>
      <c r="T64" t="str">
        <f xml:space="preserve"> IF( K64&gt;0, CONCATENATE( DQ64, DR64, DS64, DT64, DU64 ), "" )</f>
        <v/>
      </c>
      <c r="U64" s="106"/>
      <c r="V64" s="106"/>
      <c r="W64" s="106"/>
      <c r="X64" s="106"/>
      <c r="Y64" s="156"/>
      <c r="Z64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</v>
      </c>
      <c r="AA64" s="160" t="str">
        <f t="shared" si="272"/>
        <v/>
      </c>
      <c r="AB64" s="161" t="str">
        <f xml:space="preserve"> CONCATENATE( A64 &amp; " " &amp; D64 )</f>
        <v>Spacer Niche (1) 1</v>
      </c>
      <c r="AC64" s="160" t="str">
        <f t="shared" si="1"/>
        <v xml:space="preserve">             </v>
      </c>
      <c r="AD64" s="160" t="str">
        <f t="shared" si="2"/>
        <v xml:space="preserve">           </v>
      </c>
      <c r="AE64" s="162" t="str">
        <f t="shared" si="232"/>
        <v>0</v>
      </c>
      <c r="AF64" s="160" t="str">
        <f t="shared" si="3"/>
        <v xml:space="preserve">           </v>
      </c>
      <c r="AG64" s="161" t="str">
        <f t="shared" si="233"/>
        <v>0</v>
      </c>
      <c r="AH64" s="160" t="str">
        <f t="shared" si="53"/>
        <v xml:space="preserve">           </v>
      </c>
      <c r="AI64" s="163" t="str">
        <f t="shared" si="234"/>
        <v>0</v>
      </c>
      <c r="AJ64" s="160" t="str">
        <f t="shared" si="5"/>
        <v xml:space="preserve">      </v>
      </c>
      <c r="AK64" s="163" t="str">
        <f t="shared" si="14"/>
        <v/>
      </c>
      <c r="AL64" s="163"/>
      <c r="AM64" s="153"/>
      <c r="AN64" s="153"/>
      <c r="AO64" s="153"/>
      <c r="AP64" s="153"/>
      <c r="AR64" s="77">
        <f xml:space="preserve"> VLOOKUP( $A64, Tables!$A$491:$E$497, 3, 0 )</f>
        <v>1</v>
      </c>
      <c r="AS64" s="77">
        <f xml:space="preserve"> VLOOKUP( $A64, Tables!$A$491:$E$497, 4, 0 )</f>
        <v>0</v>
      </c>
      <c r="AT64" s="77">
        <f xml:space="preserve"> VLOOKUP( $A64, Tables!$A$491:$E$497, 5, 0 )</f>
        <v>1</v>
      </c>
      <c r="AV64">
        <f xml:space="preserve"> J64 * AT64</f>
        <v>0</v>
      </c>
      <c r="DL64">
        <f ca="1" xml:space="preserve"> IF( $AV64=Tables!$C$189, 5, RANDBETWEEN(1,6)+RANDBETWEEN(1,6)-2 )</f>
        <v>3</v>
      </c>
      <c r="DM64">
        <f ca="1" xml:space="preserve"> IF( $AV64=Tables!$C$189, 0, RANDBETWEEN(1,6)-RANDBETWEEN(1,6)+ VLOOKUP( $AS64, Tables!$A$184:$Q$193,  14 ) )</f>
        <v>-1</v>
      </c>
      <c r="DN64">
        <f ca="1" xml:space="preserve"> IF( $AV64=Tables!$C$189, 0, RANDBETWEEN(1,6)-RANDBETWEEN(1,6)+ VLOOKUP( $AS64, Tables!$A$184:$Q$193,  15 ) )</f>
        <v>-3</v>
      </c>
      <c r="DO64">
        <f ca="1" xml:space="preserve"> IF( $AV64=Tables!$C$189, 0, RANDBETWEEN(1,6)-RANDBETWEEN(1,6)+ VLOOKUP( $AS64, Tables!$A$184:$Q$193,  16 ) )</f>
        <v>5</v>
      </c>
      <c r="DP64">
        <f ca="1" xml:space="preserve"> IF( $AV64=Tables!$C$189, 0, RANDBETWEEN(1,6)-RANDBETWEEN(1,6)+ VLOOKUP( $AS64, Tables!$A$184:$Q$193,  17 ) )</f>
        <v>1</v>
      </c>
      <c r="DQ64" s="44" t="str">
        <f ca="1" xml:space="preserve"> VLOOKUP( $DL64,Tables!$B$2:$C$36,2)</f>
        <v>3</v>
      </c>
      <c r="DR64" t="str">
        <f t="shared" ref="DR64" ca="1" si="275" xml:space="preserve"> IF( DM64&lt;0, CONCATENATE( DM64 ), CONCATENATE( " ", DM64 ) )</f>
        <v>-1</v>
      </c>
      <c r="DS64" t="str">
        <f t="shared" ref="DS64" ca="1" si="276" xml:space="preserve"> IF( DN64&lt;0, CONCATENATE( DN64 ), CONCATENATE( " ", DN64 ) )</f>
        <v>-3</v>
      </c>
      <c r="DT64" t="str">
        <f t="shared" ref="DT64" ca="1" si="277" xml:space="preserve"> IF( DO64&lt;0, CONCATENATE( DO64 ), CONCATENATE( " ", DO64 ) )</f>
        <v xml:space="preserve"> 5</v>
      </c>
      <c r="DU64" t="str">
        <f t="shared" ref="DU64" ca="1" si="278" xml:space="preserve"> IF( DP64&lt;0, CONCATENATE( DP64 ), CONCATENATE( " ", DP64 ) )</f>
        <v xml:space="preserve"> 1</v>
      </c>
      <c r="DW64" s="194">
        <f xml:space="preserve"> SUM( DX$4:DX64, -DX64 )</f>
        <v>0</v>
      </c>
      <c r="DX64" s="194">
        <v>0</v>
      </c>
      <c r="DY64" s="194">
        <f xml:space="preserve"> SUM( DZ$4:DZ64, -DZ64 )</f>
        <v>13</v>
      </c>
      <c r="DZ64" s="194">
        <v>0</v>
      </c>
      <c r="EA64" s="194">
        <f xml:space="preserve"> SUM( EB$4:EB64, -EB64 )</f>
        <v>6</v>
      </c>
      <c r="EB64" s="194">
        <v>0</v>
      </c>
      <c r="EC64" s="194">
        <f xml:space="preserve"> SUM( ED$4:ED64, -ED64 )</f>
        <v>0</v>
      </c>
      <c r="ED64" s="194">
        <v>0</v>
      </c>
      <c r="EE64" s="194">
        <f xml:space="preserve"> SUM( EF$4:EF64, -EF64 )</f>
        <v>0</v>
      </c>
      <c r="EF64" s="194">
        <v>0</v>
      </c>
      <c r="EG64" s="194">
        <f xml:space="preserve"> SUM( EH$4:EH64, -EH64 )</f>
        <v>0</v>
      </c>
      <c r="EH64" s="194">
        <f t="shared" ref="EH64" si="279">K64</f>
        <v>0</v>
      </c>
      <c r="EI64" s="194">
        <f xml:space="preserve"> SUM( EJ$4:EJ64, -EJ64 )</f>
        <v>0</v>
      </c>
      <c r="EJ64" s="194">
        <v>0</v>
      </c>
      <c r="EK64" s="194">
        <f xml:space="preserve"> SUM( EL$4:EL64, -EL64 )</f>
        <v>0</v>
      </c>
      <c r="EL64" s="194">
        <v>0</v>
      </c>
      <c r="EM64" s="194">
        <f xml:space="preserve"> SUM( EN$4:EN64, -EN64 )</f>
        <v>0</v>
      </c>
      <c r="EN64" s="194">
        <v>0</v>
      </c>
      <c r="EO64" s="194">
        <f xml:space="preserve"> SUM( EP$4:EP64, -EP64 )</f>
        <v>0</v>
      </c>
      <c r="EP64" s="194">
        <v>0</v>
      </c>
      <c r="EQ64" s="194">
        <f xml:space="preserve"> SUM( ER$4:ER64, -ER64 )</f>
        <v>24</v>
      </c>
      <c r="ER64" s="194">
        <v>0</v>
      </c>
      <c r="ES64" s="194">
        <f xml:space="preserve"> SUM( ET$4:ET64, -ET64 )</f>
        <v>0</v>
      </c>
      <c r="ET64" s="194">
        <v>0</v>
      </c>
      <c r="EU64" s="194">
        <f xml:space="preserve"> SUM( EV$4:EV64, -EV64 )</f>
        <v>10</v>
      </c>
      <c r="EV64" s="194">
        <v>0</v>
      </c>
      <c r="EW64" s="194">
        <f xml:space="preserve"> SUM( EX$4:EX64, -EX64 )</f>
        <v>6</v>
      </c>
      <c r="EX64" s="194">
        <v>0</v>
      </c>
      <c r="EZ64" t="str">
        <f t="shared" ref="EZ64" si="280">A64</f>
        <v>Spacer Niche (1)</v>
      </c>
      <c r="FB64" s="237">
        <f xml:space="preserve"> SUM( FC$4:FC64, -FC64 )</f>
        <v>4</v>
      </c>
      <c r="FC64" s="237">
        <v>0</v>
      </c>
      <c r="FD64" s="237">
        <f xml:space="preserve"> SUM( FE$4:FE64, -FE64 )</f>
        <v>1</v>
      </c>
      <c r="FE64" s="237">
        <v>0</v>
      </c>
      <c r="FF64" t="str">
        <f t="shared" si="16"/>
        <v>Spacer Niche (1)</v>
      </c>
    </row>
    <row r="65" spans="1:162">
      <c r="A65" t="s">
        <v>502</v>
      </c>
      <c r="C65" s="66" t="str">
        <f>IF( D65&lt;5, "Shared", "Common" )</f>
        <v>Shared</v>
      </c>
      <c r="D65" s="260">
        <f xml:space="preserve"> IF( AND(G61&lt;3,J63&gt;1), 10, 4 )</f>
        <v>4</v>
      </c>
      <c r="E65" s="66"/>
      <c r="F65" s="66"/>
      <c r="G65" s="11">
        <f xml:space="preserve"> 1 + 0.5*(G61&gt;1)</f>
        <v>1.5</v>
      </c>
      <c r="H65" s="86"/>
      <c r="I65" s="117"/>
      <c r="J65" s="191">
        <f xml:space="preserve"> ROUNDUP( G65 * SUM(I63,-J62) / D65, 0 )</f>
        <v>2</v>
      </c>
      <c r="K65" s="194">
        <f xml:space="preserve"> J65 * IF( D65&lt;5, 0.5, 1 )</f>
        <v>1</v>
      </c>
      <c r="L65" s="194">
        <f xml:space="preserve"> J65 * IF( D65&lt;5, 0.5, 1 )</f>
        <v>1</v>
      </c>
      <c r="M65" s="21"/>
      <c r="N65" s="48"/>
      <c r="O65" s="21"/>
      <c r="P65" s="34"/>
      <c r="Q65" s="36"/>
      <c r="R65" s="106"/>
      <c r="S65" s="226"/>
      <c r="T65" s="106"/>
      <c r="U65" s="106"/>
      <c r="V65" s="106"/>
      <c r="W65" s="106"/>
      <c r="X65" s="106"/>
      <c r="Y65" s="156"/>
      <c r="Z65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</v>
      </c>
      <c r="AA65" s="160" t="str">
        <f t="shared" si="272"/>
        <v xml:space="preserve">
Freshers Shared                           2           1           1      </v>
      </c>
      <c r="AB65" s="161" t="str">
        <f xml:space="preserve"> CONCATENATE( A65 &amp; " " &amp; C65 )</f>
        <v>Freshers Shared</v>
      </c>
      <c r="AC65" s="160" t="str">
        <f t="shared" si="1"/>
        <v xml:space="preserve">                </v>
      </c>
      <c r="AD65" s="160" t="str">
        <f t="shared" si="2"/>
        <v xml:space="preserve">           </v>
      </c>
      <c r="AE65" s="162" t="str">
        <f t="shared" si="232"/>
        <v>2</v>
      </c>
      <c r="AF65" s="160" t="str">
        <f t="shared" si="3"/>
        <v xml:space="preserve">           </v>
      </c>
      <c r="AG65" s="161" t="str">
        <f t="shared" si="233"/>
        <v>1</v>
      </c>
      <c r="AH65" s="160" t="str">
        <f t="shared" si="53"/>
        <v xml:space="preserve">           </v>
      </c>
      <c r="AI65" s="163" t="str">
        <f t="shared" si="234"/>
        <v>1</v>
      </c>
      <c r="AJ65" s="160" t="str">
        <f t="shared" si="5"/>
        <v xml:space="preserve">      </v>
      </c>
      <c r="AK65" s="163" t="str">
        <f t="shared" si="14"/>
        <v/>
      </c>
      <c r="AL65" s="163"/>
      <c r="AM65" s="153"/>
      <c r="AN65" s="153"/>
      <c r="AO65" s="153"/>
      <c r="AP65" s="153"/>
      <c r="AR65" s="31"/>
      <c r="DL65"/>
      <c r="DQ65" s="44"/>
      <c r="DW65" s="194">
        <f xml:space="preserve"> SUM( DX$4:DX65, -DX65 )</f>
        <v>0</v>
      </c>
      <c r="DX65" s="194">
        <v>0</v>
      </c>
      <c r="DY65" s="194">
        <f xml:space="preserve"> SUM( DZ$4:DZ65, -DZ65 )</f>
        <v>13</v>
      </c>
      <c r="DZ65" s="194">
        <v>0</v>
      </c>
      <c r="EA65" s="194">
        <f xml:space="preserve"> SUM( EB$4:EB65, -EB65 )</f>
        <v>6</v>
      </c>
      <c r="EB65" s="194">
        <f t="shared" si="273"/>
        <v>1</v>
      </c>
      <c r="EC65" s="194">
        <f xml:space="preserve"> SUM( ED$4:ED65, -ED65 )</f>
        <v>0</v>
      </c>
      <c r="ED65" s="194">
        <v>0</v>
      </c>
      <c r="EE65" s="194">
        <f xml:space="preserve"> SUM( EF$4:EF65, -EF65 )</f>
        <v>0</v>
      </c>
      <c r="EF65" s="194">
        <v>0</v>
      </c>
      <c r="EG65" s="194">
        <f xml:space="preserve"> SUM( EH$4:EH65, -EH65 )</f>
        <v>0</v>
      </c>
      <c r="EH65" s="194">
        <v>0</v>
      </c>
      <c r="EI65" s="194">
        <f xml:space="preserve"> SUM( EJ$4:EJ65, -EJ65 )</f>
        <v>0</v>
      </c>
      <c r="EJ65" s="194">
        <v>0</v>
      </c>
      <c r="EK65" s="194">
        <f xml:space="preserve"> SUM( EL$4:EL65, -EL65 )</f>
        <v>0</v>
      </c>
      <c r="EL65" s="194">
        <v>0</v>
      </c>
      <c r="EM65" s="194">
        <f xml:space="preserve"> SUM( EN$4:EN65, -EN65 )</f>
        <v>0</v>
      </c>
      <c r="EN65" s="194">
        <v>0</v>
      </c>
      <c r="EO65" s="194">
        <f xml:space="preserve"> SUM( EP$4:EP65, -EP65 )</f>
        <v>0</v>
      </c>
      <c r="EP65" s="194">
        <v>0</v>
      </c>
      <c r="EQ65" s="194">
        <f xml:space="preserve"> SUM( ER$4:ER65, -ER65 )</f>
        <v>24</v>
      </c>
      <c r="ER65" s="194">
        <v>0</v>
      </c>
      <c r="ES65" s="194">
        <f xml:space="preserve"> SUM( ET$4:ET65, -ET65 )</f>
        <v>0</v>
      </c>
      <c r="ET65" s="194">
        <v>0</v>
      </c>
      <c r="EU65" s="194">
        <f xml:space="preserve"> SUM( EV$4:EV65, -EV65 )</f>
        <v>10</v>
      </c>
      <c r="EV65" s="194">
        <v>0</v>
      </c>
      <c r="EW65" s="194">
        <f xml:space="preserve"> SUM( EX$4:EX65, -EX65 )</f>
        <v>6</v>
      </c>
      <c r="EX65" s="194">
        <v>0</v>
      </c>
      <c r="EZ65" t="s">
        <v>881</v>
      </c>
      <c r="FB65" s="237">
        <f xml:space="preserve"> SUM( FC$4:FC65, -FC65 )</f>
        <v>4</v>
      </c>
      <c r="FC65" s="237">
        <v>0</v>
      </c>
      <c r="FD65" s="237">
        <f xml:space="preserve"> SUM( FE$4:FE65, -FE65 )</f>
        <v>1</v>
      </c>
      <c r="FE65" s="237">
        <v>0</v>
      </c>
      <c r="FF65" t="str">
        <f t="shared" si="16"/>
        <v>Cr Freshers, Shared</v>
      </c>
    </row>
    <row r="66" spans="1:162">
      <c r="A66" t="s">
        <v>497</v>
      </c>
      <c r="C66" s="15"/>
      <c r="D66" s="15"/>
      <c r="E66" s="66"/>
      <c r="F66" s="66"/>
      <c r="G66" s="48"/>
      <c r="H66" s="28"/>
      <c r="I66" s="4"/>
      <c r="J66" s="48">
        <f>MAX( 0, (G61) * SUM(I63 ) - SUM(K62:K65) )</f>
        <v>5</v>
      </c>
      <c r="K66" s="51">
        <f>J66 * 1</f>
        <v>5</v>
      </c>
      <c r="L66" s="51">
        <f>I66 * 0</f>
        <v>0</v>
      </c>
      <c r="M66" s="48"/>
      <c r="N66" s="48"/>
      <c r="O66" s="48"/>
      <c r="P66" s="47"/>
      <c r="Q66" s="47"/>
      <c r="R66" s="106"/>
      <c r="S66" s="226"/>
      <c r="T66" s="106"/>
      <c r="U66" s="106"/>
      <c r="V66" s="106"/>
      <c r="W66" s="106"/>
      <c r="X66" s="106"/>
      <c r="Y66" s="156"/>
      <c r="Z66" s="160" t="str">
        <f t="shared" si="17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66" s="160" t="str">
        <f t="shared" si="272"/>
        <v xml:space="preserve">
Common Areas                              5           5           0      </v>
      </c>
      <c r="AB66" s="161" t="str">
        <f t="shared" si="274"/>
        <v xml:space="preserve">Common Areas </v>
      </c>
      <c r="AC66" s="160" t="str">
        <f t="shared" si="1"/>
        <v xml:space="preserve">                  </v>
      </c>
      <c r="AD66" s="160" t="str">
        <f t="shared" si="2"/>
        <v xml:space="preserve">           </v>
      </c>
      <c r="AE66" s="162" t="str">
        <f t="shared" si="232"/>
        <v>5</v>
      </c>
      <c r="AF66" s="160" t="str">
        <f t="shared" si="3"/>
        <v xml:space="preserve">           </v>
      </c>
      <c r="AG66" s="161" t="str">
        <f t="shared" si="233"/>
        <v>5</v>
      </c>
      <c r="AH66" s="160" t="str">
        <f t="shared" si="53"/>
        <v xml:space="preserve">           </v>
      </c>
      <c r="AI66" s="163" t="str">
        <f t="shared" si="234"/>
        <v>0</v>
      </c>
      <c r="AJ66" s="160" t="str">
        <f t="shared" si="5"/>
        <v xml:space="preserve">      </v>
      </c>
      <c r="AK66" s="163" t="str">
        <f t="shared" si="14"/>
        <v/>
      </c>
      <c r="AL66" s="163"/>
      <c r="AM66" s="153"/>
      <c r="AN66" s="153"/>
      <c r="AO66" s="153"/>
      <c r="AP66" s="153"/>
      <c r="AR66" s="31"/>
      <c r="DL66"/>
      <c r="DQ66" s="44"/>
      <c r="DW66" s="194">
        <f xml:space="preserve"> SUM( DX$4:DX66, -DX66 )</f>
        <v>0</v>
      </c>
      <c r="DX66" s="194">
        <v>0</v>
      </c>
      <c r="DY66" s="194">
        <f xml:space="preserve"> SUM( DZ$4:DZ66, -DZ66 )</f>
        <v>13</v>
      </c>
      <c r="DZ66" s="194">
        <v>0</v>
      </c>
      <c r="EA66" s="194">
        <f xml:space="preserve"> SUM( EB$4:EB66, -EB66 )</f>
        <v>7</v>
      </c>
      <c r="EB66" s="194">
        <f t="shared" si="273"/>
        <v>5</v>
      </c>
      <c r="EC66" s="194">
        <f xml:space="preserve"> SUM( ED$4:ED66, -ED66 )</f>
        <v>0</v>
      </c>
      <c r="ED66" s="194">
        <v>0</v>
      </c>
      <c r="EE66" s="194">
        <f xml:space="preserve"> SUM( EF$4:EF66, -EF66 )</f>
        <v>0</v>
      </c>
      <c r="EF66" s="194">
        <v>0</v>
      </c>
      <c r="EG66" s="194">
        <f xml:space="preserve"> SUM( EH$4:EH66, -EH66 )</f>
        <v>0</v>
      </c>
      <c r="EH66" s="194">
        <v>0</v>
      </c>
      <c r="EI66" s="194">
        <f xml:space="preserve"> SUM( EJ$4:EJ66, -EJ66 )</f>
        <v>0</v>
      </c>
      <c r="EJ66" s="194">
        <v>0</v>
      </c>
      <c r="EK66" s="194">
        <f xml:space="preserve"> SUM( EL$4:EL66, -EL66 )</f>
        <v>0</v>
      </c>
      <c r="EL66" s="194">
        <v>0</v>
      </c>
      <c r="EM66" s="194">
        <f xml:space="preserve"> SUM( EN$4:EN66, -EN66 )</f>
        <v>0</v>
      </c>
      <c r="EN66" s="194">
        <v>0</v>
      </c>
      <c r="EO66" s="194">
        <f xml:space="preserve"> SUM( EP$4:EP66, -EP66 )</f>
        <v>0</v>
      </c>
      <c r="EP66" s="194">
        <v>0</v>
      </c>
      <c r="EQ66" s="194">
        <f xml:space="preserve"> SUM( ER$4:ER66, -ER66 )</f>
        <v>24</v>
      </c>
      <c r="ER66" s="194">
        <v>0</v>
      </c>
      <c r="ES66" s="194">
        <f xml:space="preserve"> SUM( ET$4:ET66, -ET66 )</f>
        <v>0</v>
      </c>
      <c r="ET66" s="194">
        <v>0</v>
      </c>
      <c r="EU66" s="194">
        <f xml:space="preserve"> SUM( EV$4:EV66, -EV66 )</f>
        <v>10</v>
      </c>
      <c r="EV66" s="194">
        <v>0</v>
      </c>
      <c r="EW66" s="194">
        <f xml:space="preserve"> SUM( EX$4:EX66, -EX66 )</f>
        <v>6</v>
      </c>
      <c r="EX66" s="194">
        <v>0</v>
      </c>
      <c r="EZ66" t="s">
        <v>599</v>
      </c>
      <c r="FB66" s="237">
        <f xml:space="preserve"> SUM( FC$4:FC66, -FC66 )</f>
        <v>4</v>
      </c>
      <c r="FC66" s="237">
        <v>0</v>
      </c>
      <c r="FD66" s="237">
        <f xml:space="preserve"> SUM( FE$4:FE66, -FE66 )</f>
        <v>1</v>
      </c>
      <c r="FE66" s="237">
        <v>0</v>
      </c>
      <c r="FF66" t="str">
        <f t="shared" si="16"/>
        <v>Cr Common Areas</v>
      </c>
    </row>
    <row r="67" spans="1:162">
      <c r="A67" s="54" t="s">
        <v>34</v>
      </c>
      <c r="C67" s="110">
        <f xml:space="preserve"> SUM( K67:K71 )</f>
        <v>0</v>
      </c>
      <c r="D67" s="15" t="s">
        <v>996</v>
      </c>
      <c r="E67" s="66"/>
      <c r="F67" s="66"/>
      <c r="G67" s="58">
        <f xml:space="preserve"> IF( G68&gt;0, IF( G68&gt;2*G69, 1, 0 ), -1 )</f>
        <v>-1</v>
      </c>
      <c r="H67" s="28"/>
      <c r="I67" s="59">
        <f xml:space="preserve"> IF( SUM(J68:J69) &gt; 0, INT( SUM( K68:K71 ) / SUM(J68:J69) - 5 ), 0 )</f>
        <v>0</v>
      </c>
      <c r="J67" s="48"/>
      <c r="K67" s="51"/>
      <c r="L67" s="51"/>
      <c r="M67" s="48"/>
      <c r="N67" s="48"/>
      <c r="O67" s="48"/>
      <c r="P67" s="47"/>
      <c r="Q67" s="47"/>
      <c r="R67" s="106"/>
      <c r="S67" s="226"/>
      <c r="T67" s="106"/>
      <c r="U67" s="106"/>
      <c r="V67" s="106"/>
      <c r="W67" s="106"/>
      <c r="X67" s="106"/>
      <c r="Y67" s="156"/>
      <c r="Z67" s="160" t="str">
        <f t="shared" ref="Z67:Z98" si="281" xml:space="preserve"> CONCATENATE( INDEX($Z$1:$Z$144,ROW(Z67)-1),AA67 )</f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67" s="160" t="str">
        <f xml:space="preserve"> IF( OR(C67&gt;0), CONCATENATE( newline &amp; AB67 &amp; AC67 &amp; AD67 &amp; AE67 &amp; AF67 &amp; AG67 &amp; AH67 &amp; AI67 &amp; AJ67 &amp; AK67 ), "" )</f>
        <v/>
      </c>
      <c r="AB67" s="161" t="str">
        <f t="shared" si="231"/>
        <v>Passengers:</v>
      </c>
      <c r="AC67" s="160" t="str">
        <f t="shared" ref="AC67:AC133" si="282" xml:space="preserve"> CONCATENATE( REPT(" ",MAX(0,31-LEN(AB67))) )</f>
        <v xml:space="preserve">                    </v>
      </c>
      <c r="AD67" s="160" t="str">
        <f t="shared" si="2"/>
        <v xml:space="preserve">    </v>
      </c>
      <c r="AE67" s="162" t="str">
        <f xml:space="preserve"> CONCATENATE( D67 &amp; " " &amp; I67 )</f>
        <v>Demand 0</v>
      </c>
      <c r="AF67" s="160" t="str">
        <f t="shared" si="3"/>
        <v xml:space="preserve">            </v>
      </c>
      <c r="AG67" s="161" t="str">
        <f t="shared" si="233"/>
        <v/>
      </c>
      <c r="AH67" s="160" t="str">
        <f t="shared" si="53"/>
        <v xml:space="preserve">            </v>
      </c>
      <c r="AI67" s="163" t="str">
        <f t="shared" si="234"/>
        <v/>
      </c>
      <c r="AJ67" s="160" t="str">
        <f t="shared" ref="AJ67:AJ133" si="283" xml:space="preserve"> CONCATENATE( REPT(" ",MAX(0,6-LEN(AK67))) )</f>
        <v xml:space="preserve">      </v>
      </c>
      <c r="AK67" s="163" t="str">
        <f t="shared" si="14"/>
        <v/>
      </c>
      <c r="AL67" s="163"/>
      <c r="AM67" s="153"/>
      <c r="AN67" s="153"/>
      <c r="AO67" s="153"/>
      <c r="AP67" s="153"/>
      <c r="AR67" s="31"/>
      <c r="DL67"/>
      <c r="DQ67" s="44"/>
      <c r="DW67" s="194">
        <f xml:space="preserve"> SUM( DX$4:DX67, -DX67 )</f>
        <v>0</v>
      </c>
      <c r="DX67" s="194">
        <v>0</v>
      </c>
      <c r="DY67" s="194">
        <f xml:space="preserve"> SUM( DZ$4:DZ67, -DZ67 )</f>
        <v>13</v>
      </c>
      <c r="DZ67" s="194">
        <v>0</v>
      </c>
      <c r="EA67" s="194">
        <f xml:space="preserve"> SUM( EB$4:EB67, -EB67 )</f>
        <v>12</v>
      </c>
      <c r="EB67" s="194">
        <v>0</v>
      </c>
      <c r="EC67" s="194">
        <f xml:space="preserve"> SUM( ED$4:ED67, -ED67 )</f>
        <v>0</v>
      </c>
      <c r="ED67" s="194">
        <v>0</v>
      </c>
      <c r="EE67" s="194">
        <f xml:space="preserve"> SUM( EF$4:EF67, -EF67 )</f>
        <v>0</v>
      </c>
      <c r="EF67" s="194">
        <v>0</v>
      </c>
      <c r="EG67" s="194">
        <f xml:space="preserve"> SUM( EH$4:EH67, -EH67 )</f>
        <v>0</v>
      </c>
      <c r="EH67" s="194">
        <f>K67</f>
        <v>0</v>
      </c>
      <c r="EI67" s="194">
        <f xml:space="preserve"> SUM( EJ$4:EJ67, -EJ67 )</f>
        <v>0</v>
      </c>
      <c r="EJ67" s="194">
        <v>0</v>
      </c>
      <c r="EK67" s="194">
        <f xml:space="preserve"> SUM( EL$4:EL67, -EL67 )</f>
        <v>0</v>
      </c>
      <c r="EL67" s="194">
        <v>0</v>
      </c>
      <c r="EM67" s="194">
        <f xml:space="preserve"> SUM( EN$4:EN67, -EN67 )</f>
        <v>0</v>
      </c>
      <c r="EN67" s="194">
        <v>0</v>
      </c>
      <c r="EO67" s="194">
        <f xml:space="preserve"> SUM( EP$4:EP67, -EP67 )</f>
        <v>0</v>
      </c>
      <c r="EP67" s="194">
        <v>0</v>
      </c>
      <c r="EQ67" s="194">
        <f xml:space="preserve"> SUM( ER$4:ER67, -ER67 )</f>
        <v>24</v>
      </c>
      <c r="ER67" s="194">
        <v>0</v>
      </c>
      <c r="ES67" s="194">
        <f xml:space="preserve"> SUM( ET$4:ET67, -ET67 )</f>
        <v>0</v>
      </c>
      <c r="ET67" s="194">
        <v>0</v>
      </c>
      <c r="EU67" s="194">
        <f xml:space="preserve"> SUM( EV$4:EV67, -EV67 )</f>
        <v>10</v>
      </c>
      <c r="EV67" s="194">
        <v>0</v>
      </c>
      <c r="EW67" s="194">
        <f xml:space="preserve"> SUM( EX$4:EX67, -EX67 )</f>
        <v>6</v>
      </c>
      <c r="EX67" s="194">
        <v>0</v>
      </c>
      <c r="EZ67" t="str">
        <f t="shared" si="15"/>
        <v>Passengers:</v>
      </c>
      <c r="FB67" s="237">
        <f xml:space="preserve"> SUM( FC$4:FC67, -FC67 )</f>
        <v>4</v>
      </c>
      <c r="FC67" s="237">
        <v>0</v>
      </c>
      <c r="FD67" s="237">
        <f xml:space="preserve"> SUM( FE$4:FE67, -FE67 )</f>
        <v>1</v>
      </c>
      <c r="FE67" s="237">
        <v>0</v>
      </c>
      <c r="FF67" t="str">
        <f t="shared" si="16"/>
        <v>Passengers:</v>
      </c>
    </row>
    <row r="68" spans="1:162">
      <c r="A68" s="55" t="s">
        <v>459</v>
      </c>
      <c r="C68" s="15"/>
      <c r="D68" s="15"/>
      <c r="E68" s="66"/>
      <c r="F68" s="66"/>
      <c r="G68" s="48">
        <f>HighPassengers</f>
        <v>0</v>
      </c>
      <c r="H68" s="28"/>
      <c r="I68" s="4"/>
      <c r="J68" s="48">
        <f>G68</f>
        <v>0</v>
      </c>
      <c r="K68" s="51">
        <f>J68 * 6</f>
        <v>0</v>
      </c>
      <c r="L68" s="51">
        <f>J68 * 0.4</f>
        <v>0</v>
      </c>
      <c r="M68" s="48"/>
      <c r="N68" s="48"/>
      <c r="O68" s="48"/>
      <c r="P68" s="47"/>
      <c r="Q68" s="47"/>
      <c r="R68" s="106"/>
      <c r="S68" s="226"/>
      <c r="T68" s="106"/>
      <c r="U68" s="106"/>
      <c r="V68" s="106"/>
      <c r="W68" s="106"/>
      <c r="X68" s="106"/>
      <c r="Y68" s="156"/>
      <c r="Z68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68" s="160" t="str">
        <f t="shared" ref="AA68:AA95" si="284" xml:space="preserve"> IF( OR(J68&lt;&gt;0,K68&lt;&gt;0,L68&lt;&gt;0), CONCATENATE( newline &amp; AB68 &amp; AC68 &amp; AD68 &amp; AE68 &amp; AF68 &amp; AG68 &amp; AH68 &amp; AI68 &amp; AJ68 &amp; AK68 ), "" )</f>
        <v/>
      </c>
      <c r="AB68" s="161" t="str">
        <f t="shared" ref="AB68:AB77" si="285" xml:space="preserve"> CONCATENATE( A68 &amp; " " &amp; C68 )</f>
        <v xml:space="preserve">High Statroom </v>
      </c>
      <c r="AC68" s="160" t="str">
        <f t="shared" si="282"/>
        <v xml:space="preserve">                 </v>
      </c>
      <c r="AD68" s="160" t="str">
        <f t="shared" si="2"/>
        <v xml:space="preserve">           </v>
      </c>
      <c r="AE68" s="162" t="str">
        <f t="shared" si="232"/>
        <v>0</v>
      </c>
      <c r="AF68" s="160" t="str">
        <f t="shared" si="3"/>
        <v xml:space="preserve">           </v>
      </c>
      <c r="AG68" s="161" t="str">
        <f t="shared" si="233"/>
        <v>0</v>
      </c>
      <c r="AH68" s="160" t="str">
        <f t="shared" si="53"/>
        <v xml:space="preserve">           </v>
      </c>
      <c r="AI68" s="163" t="str">
        <f t="shared" si="234"/>
        <v>0</v>
      </c>
      <c r="AJ68" s="160" t="str">
        <f t="shared" si="283"/>
        <v xml:space="preserve">      </v>
      </c>
      <c r="AK68" s="163" t="str">
        <f t="shared" si="14"/>
        <v/>
      </c>
      <c r="AL68" s="163"/>
      <c r="AM68" s="153"/>
      <c r="AN68" s="153"/>
      <c r="AO68" s="153"/>
      <c r="AP68" s="153"/>
      <c r="AR68" s="31"/>
      <c r="DL68"/>
      <c r="DQ68" s="44"/>
      <c r="DW68" s="194">
        <f xml:space="preserve"> SUM( DX$4:DX68, -DX68 )</f>
        <v>0</v>
      </c>
      <c r="DX68" s="194">
        <v>0</v>
      </c>
      <c r="DY68" s="194">
        <f xml:space="preserve"> SUM( DZ$4:DZ68, -DZ68 )</f>
        <v>13</v>
      </c>
      <c r="DZ68" s="194">
        <v>0</v>
      </c>
      <c r="EA68" s="194">
        <f xml:space="preserve"> SUM( EB$4:EB68, -EB68 )</f>
        <v>12</v>
      </c>
      <c r="EB68" s="194">
        <v>0</v>
      </c>
      <c r="EC68" s="194">
        <f xml:space="preserve"> SUM( ED$4:ED68, -ED68 )</f>
        <v>0</v>
      </c>
      <c r="ED68" s="194">
        <v>0</v>
      </c>
      <c r="EE68" s="194">
        <f xml:space="preserve"> SUM( EF$4:EF68, -EF68 )</f>
        <v>0</v>
      </c>
      <c r="EF68" s="194">
        <v>0</v>
      </c>
      <c r="EG68" s="194">
        <f xml:space="preserve"> SUM( EH$4:EH68, -EH68 )</f>
        <v>0</v>
      </c>
      <c r="EH68" s="194">
        <f t="shared" ref="EH68:EH77" si="286">K68</f>
        <v>0</v>
      </c>
      <c r="EI68" s="194">
        <f xml:space="preserve"> SUM( EJ$4:EJ68, -EJ68 )</f>
        <v>0</v>
      </c>
      <c r="EJ68" s="194">
        <v>0</v>
      </c>
      <c r="EK68" s="194">
        <f xml:space="preserve"> SUM( EL$4:EL68, -EL68 )</f>
        <v>0</v>
      </c>
      <c r="EL68" s="194">
        <v>0</v>
      </c>
      <c r="EM68" s="194">
        <f xml:space="preserve"> SUM( EN$4:EN68, -EN68 )</f>
        <v>0</v>
      </c>
      <c r="EN68" s="194">
        <v>0</v>
      </c>
      <c r="EO68" s="194">
        <f xml:space="preserve"> SUM( EP$4:EP68, -EP68 )</f>
        <v>0</v>
      </c>
      <c r="EP68" s="194">
        <v>0</v>
      </c>
      <c r="EQ68" s="194">
        <f xml:space="preserve"> SUM( ER$4:ER68, -ER68 )</f>
        <v>24</v>
      </c>
      <c r="ER68" s="194">
        <v>0</v>
      </c>
      <c r="ES68" s="194">
        <f xml:space="preserve"> SUM( ET$4:ET68, -ET68 )</f>
        <v>0</v>
      </c>
      <c r="ET68" s="194">
        <v>0</v>
      </c>
      <c r="EU68" s="194">
        <f xml:space="preserve"> SUM( EV$4:EV68, -EV68 )</f>
        <v>10</v>
      </c>
      <c r="EV68" s="194">
        <v>0</v>
      </c>
      <c r="EW68" s="194">
        <f xml:space="preserve"> SUM( EX$4:EX68, -EX68 )</f>
        <v>6</v>
      </c>
      <c r="EX68" s="194">
        <v>0</v>
      </c>
      <c r="EZ68" t="s">
        <v>786</v>
      </c>
      <c r="FB68" s="237">
        <f xml:space="preserve"> SUM( FC$4:FC68, -FC68 )</f>
        <v>4</v>
      </c>
      <c r="FC68" s="237">
        <v>0</v>
      </c>
      <c r="FD68" s="237">
        <f xml:space="preserve"> SUM( FE$4:FE68, -FE68 )</f>
        <v>1</v>
      </c>
      <c r="FE68" s="237">
        <v>0</v>
      </c>
      <c r="FF68" t="str">
        <f t="shared" si="16"/>
        <v>Pas High Statroom</v>
      </c>
    </row>
    <row r="69" spans="1:162">
      <c r="A69" s="55" t="s">
        <v>1115</v>
      </c>
      <c r="C69" s="15"/>
      <c r="D69" s="15"/>
      <c r="E69" s="66"/>
      <c r="F69" s="66"/>
      <c r="G69" s="48">
        <f>MidPassengers</f>
        <v>0</v>
      </c>
      <c r="H69" s="28"/>
      <c r="I69" s="4"/>
      <c r="J69" s="48">
        <f>G69</f>
        <v>0</v>
      </c>
      <c r="K69" s="51">
        <f>J69 * 2</f>
        <v>0</v>
      </c>
      <c r="L69" s="51">
        <f>J69 * 0.1</f>
        <v>0</v>
      </c>
      <c r="M69" s="48"/>
      <c r="N69" s="48"/>
      <c r="O69" s="48"/>
      <c r="P69" s="47"/>
      <c r="Q69" s="47"/>
      <c r="R69" s="106"/>
      <c r="S69" s="226"/>
      <c r="T69" s="106"/>
      <c r="U69" s="106"/>
      <c r="V69" s="106"/>
      <c r="W69" s="106"/>
      <c r="X69" s="106"/>
      <c r="Y69" s="156"/>
      <c r="Z69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69" s="160" t="str">
        <f t="shared" si="284"/>
        <v/>
      </c>
      <c r="AB69" s="161" t="str">
        <f t="shared" si="285"/>
        <v xml:space="preserve">Mid Stateroom </v>
      </c>
      <c r="AC69" s="160" t="str">
        <f t="shared" si="282"/>
        <v xml:space="preserve">                 </v>
      </c>
      <c r="AD69" s="160" t="str">
        <f t="shared" si="2"/>
        <v xml:space="preserve">           </v>
      </c>
      <c r="AE69" s="162" t="str">
        <f t="shared" si="232"/>
        <v>0</v>
      </c>
      <c r="AF69" s="160" t="str">
        <f t="shared" si="3"/>
        <v xml:space="preserve">           </v>
      </c>
      <c r="AG69" s="161" t="str">
        <f t="shared" si="233"/>
        <v>0</v>
      </c>
      <c r="AH69" s="160" t="str">
        <f t="shared" si="53"/>
        <v xml:space="preserve">           </v>
      </c>
      <c r="AI69" s="163" t="str">
        <f t="shared" si="234"/>
        <v>0</v>
      </c>
      <c r="AJ69" s="160" t="str">
        <f t="shared" si="283"/>
        <v xml:space="preserve">      </v>
      </c>
      <c r="AK69" s="163" t="str">
        <f t="shared" si="14"/>
        <v/>
      </c>
      <c r="AL69" s="163"/>
      <c r="AM69" s="153"/>
      <c r="AN69" s="153"/>
      <c r="AO69" s="153"/>
      <c r="AP69" s="153"/>
      <c r="AR69" s="31"/>
      <c r="DL69"/>
      <c r="DQ69" s="44"/>
      <c r="DW69" s="194">
        <f xml:space="preserve"> SUM( DX$4:DX69, -DX69 )</f>
        <v>0</v>
      </c>
      <c r="DX69" s="194">
        <v>0</v>
      </c>
      <c r="DY69" s="194">
        <f xml:space="preserve"> SUM( DZ$4:DZ69, -DZ69 )</f>
        <v>13</v>
      </c>
      <c r="DZ69" s="194">
        <v>0</v>
      </c>
      <c r="EA69" s="194">
        <f xml:space="preserve"> SUM( EB$4:EB69, -EB69 )</f>
        <v>12</v>
      </c>
      <c r="EB69" s="194">
        <v>0</v>
      </c>
      <c r="EC69" s="194">
        <f xml:space="preserve"> SUM( ED$4:ED69, -ED69 )</f>
        <v>0</v>
      </c>
      <c r="ED69" s="194">
        <v>0</v>
      </c>
      <c r="EE69" s="194">
        <f xml:space="preserve"> SUM( EF$4:EF69, -EF69 )</f>
        <v>0</v>
      </c>
      <c r="EF69" s="194">
        <v>0</v>
      </c>
      <c r="EG69" s="194">
        <f xml:space="preserve"> SUM( EH$4:EH69, -EH69 )</f>
        <v>0</v>
      </c>
      <c r="EH69" s="194">
        <f t="shared" si="286"/>
        <v>0</v>
      </c>
      <c r="EI69" s="194">
        <f xml:space="preserve"> SUM( EJ$4:EJ69, -EJ69 )</f>
        <v>0</v>
      </c>
      <c r="EJ69" s="194">
        <v>0</v>
      </c>
      <c r="EK69" s="194">
        <f xml:space="preserve"> SUM( EL$4:EL69, -EL69 )</f>
        <v>0</v>
      </c>
      <c r="EL69" s="194">
        <v>0</v>
      </c>
      <c r="EM69" s="194">
        <f xml:space="preserve"> SUM( EN$4:EN69, -EN69 )</f>
        <v>0</v>
      </c>
      <c r="EN69" s="194">
        <v>0</v>
      </c>
      <c r="EO69" s="194">
        <f xml:space="preserve"> SUM( EP$4:EP69, -EP69 )</f>
        <v>0</v>
      </c>
      <c r="EP69" s="194">
        <v>0</v>
      </c>
      <c r="EQ69" s="194">
        <f xml:space="preserve"> SUM( ER$4:ER69, -ER69 )</f>
        <v>24</v>
      </c>
      <c r="ER69" s="194">
        <v>0</v>
      </c>
      <c r="ES69" s="194">
        <f xml:space="preserve"> SUM( ET$4:ET69, -ET69 )</f>
        <v>0</v>
      </c>
      <c r="ET69" s="194">
        <v>0</v>
      </c>
      <c r="EU69" s="194">
        <f xml:space="preserve"> SUM( EV$4:EV69, -EV69 )</f>
        <v>10</v>
      </c>
      <c r="EV69" s="194">
        <v>0</v>
      </c>
      <c r="EW69" s="194">
        <f xml:space="preserve"> SUM( EX$4:EX69, -EX69 )</f>
        <v>6</v>
      </c>
      <c r="EX69" s="194">
        <v>0</v>
      </c>
      <c r="EZ69" t="s">
        <v>787</v>
      </c>
      <c r="FB69" s="237">
        <f xml:space="preserve"> SUM( FC$4:FC69, -FC69 )</f>
        <v>4</v>
      </c>
      <c r="FC69" s="237">
        <v>0</v>
      </c>
      <c r="FD69" s="237">
        <f xml:space="preserve"> SUM( FE$4:FE69, -FE69 )</f>
        <v>1</v>
      </c>
      <c r="FE69" s="237">
        <v>0</v>
      </c>
      <c r="FF69" t="str">
        <f t="shared" si="16"/>
        <v>Pas Mid Stateroom</v>
      </c>
    </row>
    <row r="70" spans="1:162">
      <c r="A70" t="s">
        <v>502</v>
      </c>
      <c r="C70" s="66" t="str">
        <f>IF( D70&lt;5, "Shared", "Common" )</f>
        <v>Shared</v>
      </c>
      <c r="D70" s="260">
        <v>4</v>
      </c>
      <c r="E70" s="66"/>
      <c r="F70" s="66"/>
      <c r="G70" s="11">
        <v>1.5</v>
      </c>
      <c r="H70" s="28"/>
      <c r="I70" s="4"/>
      <c r="J70" s="48">
        <f>ROUNDUP( G70 * SUM(J69) / D70, 0 )</f>
        <v>0</v>
      </c>
      <c r="K70" s="194">
        <f xml:space="preserve"> J70 * IF( D70&lt;5, 0.5, 1 )</f>
        <v>0</v>
      </c>
      <c r="L70" s="194">
        <f xml:space="preserve"> J70 * IF( D70&lt;5, 0.5, 1 )</f>
        <v>0</v>
      </c>
      <c r="M70" s="48"/>
      <c r="N70" s="48"/>
      <c r="O70" s="48"/>
      <c r="P70" s="47"/>
      <c r="Q70" s="47"/>
      <c r="R70" s="106"/>
      <c r="S70" s="226"/>
      <c r="T70" s="106"/>
      <c r="U70" s="106"/>
      <c r="V70" s="106"/>
      <c r="W70" s="106"/>
      <c r="X70" s="106"/>
      <c r="Y70" s="156"/>
      <c r="Z70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70" s="160" t="str">
        <f t="shared" si="284"/>
        <v/>
      </c>
      <c r="AB70" s="161" t="str">
        <f t="shared" si="285"/>
        <v>Freshers Shared</v>
      </c>
      <c r="AC70" s="160" t="str">
        <f t="shared" si="282"/>
        <v xml:space="preserve">                </v>
      </c>
      <c r="AD70" s="160" t="str">
        <f t="shared" si="2"/>
        <v xml:space="preserve">           </v>
      </c>
      <c r="AE70" s="162" t="str">
        <f t="shared" si="232"/>
        <v>0</v>
      </c>
      <c r="AF70" s="160" t="str">
        <f t="shared" si="3"/>
        <v xml:space="preserve">           </v>
      </c>
      <c r="AG70" s="161" t="str">
        <f t="shared" si="233"/>
        <v>0</v>
      </c>
      <c r="AH70" s="160" t="str">
        <f t="shared" si="53"/>
        <v xml:space="preserve">           </v>
      </c>
      <c r="AI70" s="163" t="str">
        <f t="shared" si="234"/>
        <v>0</v>
      </c>
      <c r="AJ70" s="160" t="str">
        <f t="shared" si="283"/>
        <v xml:space="preserve">      </v>
      </c>
      <c r="AK70" s="163" t="str">
        <f t="shared" ref="AK70:AK123" si="287" xml:space="preserve"> IF( AND(S70&gt;0,S70&lt;&gt;TL), CONCATENATE( "TL" &amp; S70  ), "" )</f>
        <v/>
      </c>
      <c r="AL70" s="163"/>
      <c r="AM70" s="153"/>
      <c r="AN70" s="153"/>
      <c r="AO70" s="153"/>
      <c r="AP70" s="153"/>
      <c r="AR70" s="31"/>
      <c r="DL70"/>
      <c r="DQ70" s="44"/>
      <c r="DW70" s="194">
        <f xml:space="preserve"> SUM( DX$4:DX70, -DX70 )</f>
        <v>0</v>
      </c>
      <c r="DX70" s="194">
        <v>0</v>
      </c>
      <c r="DY70" s="194">
        <f xml:space="preserve"> SUM( DZ$4:DZ70, -DZ70 )</f>
        <v>13</v>
      </c>
      <c r="DZ70" s="194">
        <v>0</v>
      </c>
      <c r="EA70" s="194">
        <f xml:space="preserve"> SUM( EB$4:EB70, -EB70 )</f>
        <v>12</v>
      </c>
      <c r="EB70" s="194">
        <v>0</v>
      </c>
      <c r="EC70" s="194">
        <f xml:space="preserve"> SUM( ED$4:ED70, -ED70 )</f>
        <v>0</v>
      </c>
      <c r="ED70" s="194">
        <v>0</v>
      </c>
      <c r="EE70" s="194">
        <f xml:space="preserve"> SUM( EF$4:EF70, -EF70 )</f>
        <v>0</v>
      </c>
      <c r="EF70" s="194">
        <v>0</v>
      </c>
      <c r="EG70" s="194">
        <f xml:space="preserve"> SUM( EH$4:EH70, -EH70 )</f>
        <v>0</v>
      </c>
      <c r="EH70" s="194">
        <f t="shared" si="286"/>
        <v>0</v>
      </c>
      <c r="EI70" s="194">
        <f xml:space="preserve"> SUM( EJ$4:EJ70, -EJ70 )</f>
        <v>0</v>
      </c>
      <c r="EJ70" s="194">
        <v>0</v>
      </c>
      <c r="EK70" s="194">
        <f xml:space="preserve"> SUM( EL$4:EL70, -EL70 )</f>
        <v>0</v>
      </c>
      <c r="EL70" s="194">
        <v>0</v>
      </c>
      <c r="EM70" s="194">
        <f xml:space="preserve"> SUM( EN$4:EN70, -EN70 )</f>
        <v>0</v>
      </c>
      <c r="EN70" s="194">
        <v>0</v>
      </c>
      <c r="EO70" s="194">
        <f xml:space="preserve"> SUM( EP$4:EP70, -EP70 )</f>
        <v>0</v>
      </c>
      <c r="EP70" s="194">
        <v>0</v>
      </c>
      <c r="EQ70" s="194">
        <f xml:space="preserve"> SUM( ER$4:ER70, -ER70 )</f>
        <v>24</v>
      </c>
      <c r="ER70" s="194">
        <v>0</v>
      </c>
      <c r="ES70" s="194">
        <f xml:space="preserve"> SUM( ET$4:ET70, -ET70 )</f>
        <v>0</v>
      </c>
      <c r="ET70" s="194">
        <v>0</v>
      </c>
      <c r="EU70" s="194">
        <f xml:space="preserve"> SUM( EV$4:EV70, -EV70 )</f>
        <v>10</v>
      </c>
      <c r="EV70" s="194">
        <v>0</v>
      </c>
      <c r="EW70" s="194">
        <f xml:space="preserve"> SUM( EX$4:EX70, -EX70 )</f>
        <v>6</v>
      </c>
      <c r="EX70" s="194">
        <v>0</v>
      </c>
      <c r="EZ70" t="s">
        <v>11</v>
      </c>
      <c r="FB70" s="237">
        <f xml:space="preserve"> SUM( FC$4:FC70, -FC70 )</f>
        <v>4</v>
      </c>
      <c r="FC70" s="237">
        <v>0</v>
      </c>
      <c r="FD70" s="237">
        <f xml:space="preserve"> SUM( FE$4:FE70, -FE70 )</f>
        <v>1</v>
      </c>
      <c r="FE70" s="237">
        <v>0</v>
      </c>
      <c r="FF70" t="str">
        <f t="shared" ref="FF70:FF125" si="288">EZ70</f>
        <v>Pas Freshers, Shared</v>
      </c>
    </row>
    <row r="71" spans="1:162">
      <c r="A71" s="55" t="s">
        <v>985</v>
      </c>
      <c r="C71" s="15"/>
      <c r="D71" s="15"/>
      <c r="E71" s="66"/>
      <c r="F71" s="66"/>
      <c r="G71" s="48"/>
      <c r="H71" s="28"/>
      <c r="I71" s="4"/>
      <c r="J71" s="48">
        <f xml:space="preserve"> MAX( 0, (G67+5) * SUM(J68:J69) - SUM(K68:K70) )</f>
        <v>0</v>
      </c>
      <c r="K71" s="51">
        <f>J71 * 1</f>
        <v>0</v>
      </c>
      <c r="L71" s="51">
        <f>I71 * 0</f>
        <v>0</v>
      </c>
      <c r="M71" s="48"/>
      <c r="N71" s="48"/>
      <c r="O71" s="48"/>
      <c r="P71" s="47"/>
      <c r="Q71" s="47"/>
      <c r="R71" s="106"/>
      <c r="S71" s="226"/>
      <c r="T71" s="106"/>
      <c r="U71" s="106"/>
      <c r="V71" s="106"/>
      <c r="W71" s="106"/>
      <c r="X71" s="106"/>
      <c r="Y71" s="156"/>
      <c r="Z71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71" s="160" t="str">
        <f t="shared" si="284"/>
        <v/>
      </c>
      <c r="AB71" s="161" t="str">
        <f t="shared" si="285"/>
        <v xml:space="preserve">Common Areas </v>
      </c>
      <c r="AC71" s="160" t="str">
        <f t="shared" si="282"/>
        <v xml:space="preserve">                  </v>
      </c>
      <c r="AD71" s="160" t="str">
        <f t="shared" ref="AD71:AD143" si="289" xml:space="preserve"> CONCATENATE( REPT(" ",MAX(0,12-LEN(AE71))) )</f>
        <v xml:space="preserve">           </v>
      </c>
      <c r="AE71" s="162" t="str">
        <f t="shared" si="232"/>
        <v>0</v>
      </c>
      <c r="AF71" s="160" t="str">
        <f t="shared" ref="AF71:AF143" si="290" xml:space="preserve"> CONCATENATE( REPT(" ",MAX(0,12-LEN(AG71))) )</f>
        <v xml:space="preserve">           </v>
      </c>
      <c r="AG71" s="161" t="str">
        <f t="shared" si="233"/>
        <v>0</v>
      </c>
      <c r="AH71" s="160" t="str">
        <f t="shared" si="53"/>
        <v xml:space="preserve">           </v>
      </c>
      <c r="AI71" s="163" t="str">
        <f t="shared" si="234"/>
        <v>0</v>
      </c>
      <c r="AJ71" s="160" t="str">
        <f t="shared" si="283"/>
        <v xml:space="preserve">      </v>
      </c>
      <c r="AK71" s="163" t="str">
        <f t="shared" si="287"/>
        <v/>
      </c>
      <c r="AL71" s="163"/>
      <c r="AM71" s="153"/>
      <c r="AN71" s="153"/>
      <c r="AO71" s="153"/>
      <c r="AP71" s="153"/>
      <c r="AR71" s="31"/>
      <c r="DL71"/>
      <c r="DQ71" s="44"/>
      <c r="DW71" s="194">
        <f xml:space="preserve"> SUM( DX$4:DX71, -DX71 )</f>
        <v>0</v>
      </c>
      <c r="DX71" s="194">
        <v>0</v>
      </c>
      <c r="DY71" s="194">
        <f xml:space="preserve"> SUM( DZ$4:DZ71, -DZ71 )</f>
        <v>13</v>
      </c>
      <c r="DZ71" s="194">
        <v>0</v>
      </c>
      <c r="EA71" s="194">
        <f xml:space="preserve"> SUM( EB$4:EB71, -EB71 )</f>
        <v>12</v>
      </c>
      <c r="EB71" s="194">
        <v>0</v>
      </c>
      <c r="EC71" s="194">
        <f xml:space="preserve"> SUM( ED$4:ED71, -ED71 )</f>
        <v>0</v>
      </c>
      <c r="ED71" s="194">
        <v>0</v>
      </c>
      <c r="EE71" s="194">
        <f xml:space="preserve"> SUM( EF$4:EF71, -EF71 )</f>
        <v>0</v>
      </c>
      <c r="EF71" s="194">
        <v>0</v>
      </c>
      <c r="EG71" s="194">
        <f xml:space="preserve"> SUM( EH$4:EH71, -EH71 )</f>
        <v>0</v>
      </c>
      <c r="EH71" s="194">
        <f t="shared" si="286"/>
        <v>0</v>
      </c>
      <c r="EI71" s="194">
        <f xml:space="preserve"> SUM( EJ$4:EJ71, -EJ71 )</f>
        <v>0</v>
      </c>
      <c r="EJ71" s="194">
        <v>0</v>
      </c>
      <c r="EK71" s="194">
        <f xml:space="preserve"> SUM( EL$4:EL71, -EL71 )</f>
        <v>0</v>
      </c>
      <c r="EL71" s="194">
        <v>0</v>
      </c>
      <c r="EM71" s="194">
        <f xml:space="preserve"> SUM( EN$4:EN71, -EN71 )</f>
        <v>0</v>
      </c>
      <c r="EN71" s="194">
        <v>0</v>
      </c>
      <c r="EO71" s="194">
        <f xml:space="preserve"> SUM( EP$4:EP71, -EP71 )</f>
        <v>0</v>
      </c>
      <c r="EP71" s="194">
        <v>0</v>
      </c>
      <c r="EQ71" s="194">
        <f xml:space="preserve"> SUM( ER$4:ER71, -ER71 )</f>
        <v>24</v>
      </c>
      <c r="ER71" s="194">
        <v>0</v>
      </c>
      <c r="ES71" s="194">
        <f xml:space="preserve"> SUM( ET$4:ET71, -ET71 )</f>
        <v>0</v>
      </c>
      <c r="ET71" s="194">
        <v>0</v>
      </c>
      <c r="EU71" s="194">
        <f xml:space="preserve"> SUM( EV$4:EV71, -EV71 )</f>
        <v>10</v>
      </c>
      <c r="EV71" s="194">
        <v>0</v>
      </c>
      <c r="EW71" s="194">
        <f xml:space="preserve"> SUM( EX$4:EX71, -EX71 )</f>
        <v>6</v>
      </c>
      <c r="EX71" s="194">
        <v>0</v>
      </c>
      <c r="EZ71" t="s">
        <v>847</v>
      </c>
      <c r="FB71" s="237">
        <f xml:space="preserve"> SUM( FC$4:FC71, -FC71 )</f>
        <v>4</v>
      </c>
      <c r="FC71" s="237">
        <v>0</v>
      </c>
      <c r="FD71" s="237">
        <f xml:space="preserve"> SUM( FE$4:FE71, -FE71 )</f>
        <v>1</v>
      </c>
      <c r="FE71" s="237">
        <v>0</v>
      </c>
      <c r="FF71" t="str">
        <f t="shared" si="288"/>
        <v>Pas Common Areas</v>
      </c>
    </row>
    <row r="72" spans="1:162">
      <c r="A72" s="54" t="s">
        <v>35</v>
      </c>
      <c r="C72" s="111">
        <f xml:space="preserve"> SUM( K72:K75 )</f>
        <v>0</v>
      </c>
      <c r="D72" s="15"/>
      <c r="E72" s="66"/>
      <c r="F72" s="66"/>
      <c r="G72" s="48"/>
      <c r="H72" s="28"/>
      <c r="I72" s="4"/>
      <c r="J72" s="48"/>
      <c r="K72" s="51"/>
      <c r="L72" s="51"/>
      <c r="M72" s="48"/>
      <c r="N72" s="48"/>
      <c r="O72" s="48"/>
      <c r="P72" s="47"/>
      <c r="Q72" s="47"/>
      <c r="R72" s="106"/>
      <c r="S72" s="226"/>
      <c r="T72" s="106"/>
      <c r="U72" s="106"/>
      <c r="V72" s="106"/>
      <c r="W72" s="106"/>
      <c r="X72" s="106"/>
      <c r="Y72" s="156"/>
      <c r="Z72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72" s="160" t="str">
        <f xml:space="preserve"> IF( OR(C72&gt;0), CONCATENATE( newline &amp; AB72 &amp; AC72 &amp; AD72 &amp; AE72 &amp; AF72 &amp; AG72 &amp; AH72 &amp; AI72 &amp; AJ72 &amp; AK72 ), "" )</f>
        <v/>
      </c>
      <c r="AB72" s="161" t="str">
        <f t="shared" si="231"/>
        <v>Steerage:</v>
      </c>
      <c r="AC72" s="160" t="str">
        <f t="shared" si="282"/>
        <v xml:space="preserve">                      </v>
      </c>
      <c r="AD72" s="160" t="str">
        <f t="shared" si="289"/>
        <v xml:space="preserve">            </v>
      </c>
      <c r="AE72" s="162" t="str">
        <f t="shared" si="232"/>
        <v/>
      </c>
      <c r="AF72" s="160" t="str">
        <f t="shared" si="290"/>
        <v xml:space="preserve">            </v>
      </c>
      <c r="AG72" s="161" t="str">
        <f t="shared" si="233"/>
        <v/>
      </c>
      <c r="AH72" s="160" t="str">
        <f t="shared" si="53"/>
        <v xml:space="preserve">            </v>
      </c>
      <c r="AI72" s="163" t="str">
        <f t="shared" si="234"/>
        <v/>
      </c>
      <c r="AJ72" s="160" t="str">
        <f t="shared" si="283"/>
        <v xml:space="preserve">      </v>
      </c>
      <c r="AK72" s="163" t="str">
        <f t="shared" si="287"/>
        <v/>
      </c>
      <c r="AL72" s="163"/>
      <c r="AM72" s="153"/>
      <c r="AN72" s="153"/>
      <c r="AO72" s="153"/>
      <c r="AP72" s="153"/>
      <c r="AR72" s="31"/>
      <c r="DL72"/>
      <c r="DQ72" s="44"/>
      <c r="DW72" s="194">
        <f xml:space="preserve"> SUM( DX$4:DX72, -DX72 )</f>
        <v>0</v>
      </c>
      <c r="DX72" s="194">
        <v>0</v>
      </c>
      <c r="DY72" s="194">
        <f xml:space="preserve"> SUM( DZ$4:DZ72, -DZ72 )</f>
        <v>13</v>
      </c>
      <c r="DZ72" s="194">
        <v>0</v>
      </c>
      <c r="EA72" s="194">
        <f xml:space="preserve"> SUM( EB$4:EB72, -EB72 )</f>
        <v>12</v>
      </c>
      <c r="EB72" s="194">
        <v>0</v>
      </c>
      <c r="EC72" s="194">
        <f xml:space="preserve"> SUM( ED$4:ED72, -ED72 )</f>
        <v>0</v>
      </c>
      <c r="ED72" s="194">
        <v>0</v>
      </c>
      <c r="EE72" s="194">
        <f xml:space="preserve"> SUM( EF$4:EF72, -EF72 )</f>
        <v>0</v>
      </c>
      <c r="EF72" s="194">
        <v>0</v>
      </c>
      <c r="EG72" s="194">
        <f xml:space="preserve"> SUM( EH$4:EH72, -EH72 )</f>
        <v>0</v>
      </c>
      <c r="EH72" s="194">
        <f t="shared" si="286"/>
        <v>0</v>
      </c>
      <c r="EI72" s="194">
        <f xml:space="preserve"> SUM( EJ$4:EJ72, -EJ72 )</f>
        <v>0</v>
      </c>
      <c r="EJ72" s="194">
        <v>0</v>
      </c>
      <c r="EK72" s="194">
        <f xml:space="preserve"> SUM( EL$4:EL72, -EL72 )</f>
        <v>0</v>
      </c>
      <c r="EL72" s="194">
        <v>0</v>
      </c>
      <c r="EM72" s="194">
        <f xml:space="preserve"> SUM( EN$4:EN72, -EN72 )</f>
        <v>0</v>
      </c>
      <c r="EN72" s="194">
        <v>0</v>
      </c>
      <c r="EO72" s="194">
        <f xml:space="preserve"> SUM( EP$4:EP72, -EP72 )</f>
        <v>0</v>
      </c>
      <c r="EP72" s="194">
        <v>0</v>
      </c>
      <c r="EQ72" s="194">
        <f xml:space="preserve"> SUM( ER$4:ER72, -ER72 )</f>
        <v>24</v>
      </c>
      <c r="ER72" s="194">
        <v>0</v>
      </c>
      <c r="ES72" s="194">
        <f xml:space="preserve"> SUM( ET$4:ET72, -ET72 )</f>
        <v>0</v>
      </c>
      <c r="ET72" s="194">
        <v>0</v>
      </c>
      <c r="EU72" s="194">
        <f xml:space="preserve"> SUM( EV$4:EV72, -EV72 )</f>
        <v>10</v>
      </c>
      <c r="EV72" s="194">
        <v>0</v>
      </c>
      <c r="EW72" s="194">
        <f xml:space="preserve"> SUM( EX$4:EX72, -EX72 )</f>
        <v>6</v>
      </c>
      <c r="EX72" s="194">
        <v>0</v>
      </c>
      <c r="EZ72" t="str">
        <f t="shared" si="15"/>
        <v>Steerage:</v>
      </c>
      <c r="FB72" s="237">
        <f xml:space="preserve"> SUM( FC$4:FC72, -FC72 )</f>
        <v>4</v>
      </c>
      <c r="FC72" s="237">
        <v>0</v>
      </c>
      <c r="FD72" s="237">
        <f xml:space="preserve"> SUM( FE$4:FE72, -FE72 )</f>
        <v>1</v>
      </c>
      <c r="FE72" s="237">
        <v>0</v>
      </c>
      <c r="FF72" t="str">
        <f t="shared" si="288"/>
        <v>Steerage:</v>
      </c>
    </row>
    <row r="73" spans="1:162">
      <c r="A73" s="55" t="s">
        <v>677</v>
      </c>
      <c r="C73" s="15"/>
      <c r="D73" s="15"/>
      <c r="E73" s="66"/>
      <c r="F73" s="66"/>
      <c r="G73" s="20">
        <f>SteeragePassengers</f>
        <v>0</v>
      </c>
      <c r="H73" s="28"/>
      <c r="I73" s="4"/>
      <c r="J73" s="48">
        <f>G73</f>
        <v>0</v>
      </c>
      <c r="K73" s="51">
        <f xml:space="preserve"> ROUNDUP( J73/2,0 ) * 0.5</f>
        <v>0</v>
      </c>
      <c r="L73" s="51">
        <f>K73*2 * 0</f>
        <v>0</v>
      </c>
      <c r="M73" s="48"/>
      <c r="N73" s="48"/>
      <c r="O73" s="48"/>
      <c r="P73" s="47"/>
      <c r="Q73" s="47"/>
      <c r="R73" s="106"/>
      <c r="S73" s="226"/>
      <c r="T73" s="106"/>
      <c r="U73" s="106"/>
      <c r="V73" s="106"/>
      <c r="W73" s="106"/>
      <c r="X73" s="106"/>
      <c r="Y73" s="156"/>
      <c r="Z73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73" s="160" t="str">
        <f t="shared" si="284"/>
        <v/>
      </c>
      <c r="AB73" s="161" t="str">
        <f t="shared" si="285"/>
        <v xml:space="preserve">Steerage </v>
      </c>
      <c r="AC73" s="160" t="str">
        <f t="shared" si="282"/>
        <v xml:space="preserve">                      </v>
      </c>
      <c r="AD73" s="160" t="str">
        <f t="shared" si="289"/>
        <v xml:space="preserve">           </v>
      </c>
      <c r="AE73" s="162" t="str">
        <f t="shared" si="232"/>
        <v>0</v>
      </c>
      <c r="AF73" s="160" t="str">
        <f t="shared" si="290"/>
        <v xml:space="preserve">           </v>
      </c>
      <c r="AG73" s="161" t="str">
        <f t="shared" si="233"/>
        <v>0</v>
      </c>
      <c r="AH73" s="160" t="str">
        <f t="shared" si="53"/>
        <v xml:space="preserve">           </v>
      </c>
      <c r="AI73" s="163" t="str">
        <f t="shared" si="234"/>
        <v>0</v>
      </c>
      <c r="AJ73" s="160" t="str">
        <f t="shared" si="283"/>
        <v xml:space="preserve">      </v>
      </c>
      <c r="AK73" s="163" t="str">
        <f t="shared" si="287"/>
        <v/>
      </c>
      <c r="AL73" s="163"/>
      <c r="AM73" s="153"/>
      <c r="AN73" s="153"/>
      <c r="AO73" s="153"/>
      <c r="AP73" s="153"/>
      <c r="AR73" s="31"/>
      <c r="DL73"/>
      <c r="DQ73" s="44"/>
      <c r="DW73" s="194">
        <f xml:space="preserve"> SUM( DX$4:DX73, -DX73 )</f>
        <v>0</v>
      </c>
      <c r="DX73" s="194">
        <v>0</v>
      </c>
      <c r="DY73" s="194">
        <f xml:space="preserve"> SUM( DZ$4:DZ73, -DZ73 )</f>
        <v>13</v>
      </c>
      <c r="DZ73" s="194">
        <v>0</v>
      </c>
      <c r="EA73" s="194">
        <f xml:space="preserve"> SUM( EB$4:EB73, -EB73 )</f>
        <v>12</v>
      </c>
      <c r="EB73" s="194">
        <v>0</v>
      </c>
      <c r="EC73" s="194">
        <f xml:space="preserve"> SUM( ED$4:ED73, -ED73 )</f>
        <v>0</v>
      </c>
      <c r="ED73" s="194">
        <v>0</v>
      </c>
      <c r="EE73" s="194">
        <f xml:space="preserve"> SUM( EF$4:EF73, -EF73 )</f>
        <v>0</v>
      </c>
      <c r="EF73" s="194">
        <v>0</v>
      </c>
      <c r="EG73" s="194">
        <f xml:space="preserve"> SUM( EH$4:EH73, -EH73 )</f>
        <v>0</v>
      </c>
      <c r="EH73" s="194">
        <f t="shared" si="286"/>
        <v>0</v>
      </c>
      <c r="EI73" s="194">
        <f xml:space="preserve"> SUM( EJ$4:EJ73, -EJ73 )</f>
        <v>0</v>
      </c>
      <c r="EJ73" s="194">
        <v>0</v>
      </c>
      <c r="EK73" s="194">
        <f xml:space="preserve"> SUM( EL$4:EL73, -EL73 )</f>
        <v>0</v>
      </c>
      <c r="EL73" s="194">
        <v>0</v>
      </c>
      <c r="EM73" s="194">
        <f xml:space="preserve"> SUM( EN$4:EN73, -EN73 )</f>
        <v>0</v>
      </c>
      <c r="EN73" s="194">
        <v>0</v>
      </c>
      <c r="EO73" s="194">
        <f xml:space="preserve"> SUM( EP$4:EP73, -EP73 )</f>
        <v>0</v>
      </c>
      <c r="EP73" s="194">
        <v>0</v>
      </c>
      <c r="EQ73" s="194">
        <f xml:space="preserve"> SUM( ER$4:ER73, -ER73 )</f>
        <v>24</v>
      </c>
      <c r="ER73" s="194">
        <v>0</v>
      </c>
      <c r="ES73" s="194">
        <f xml:space="preserve"> SUM( ET$4:ET73, -ET73 )</f>
        <v>0</v>
      </c>
      <c r="ET73" s="194">
        <v>0</v>
      </c>
      <c r="EU73" s="194">
        <f xml:space="preserve"> SUM( EV$4:EV73, -EV73 )</f>
        <v>10</v>
      </c>
      <c r="EV73" s="194">
        <v>0</v>
      </c>
      <c r="EW73" s="194">
        <f xml:space="preserve"> SUM( EX$4:EX73, -EX73 )</f>
        <v>6</v>
      </c>
      <c r="EX73" s="194">
        <v>0</v>
      </c>
      <c r="EZ73" t="s">
        <v>480</v>
      </c>
      <c r="FB73" s="237">
        <f xml:space="preserve"> SUM( FC$4:FC73, -FC73 )</f>
        <v>4</v>
      </c>
      <c r="FC73" s="237">
        <v>0</v>
      </c>
      <c r="FD73" s="237">
        <f xml:space="preserve"> SUM( FE$4:FE73, -FE73 )</f>
        <v>1</v>
      </c>
      <c r="FE73" s="237">
        <v>0</v>
      </c>
      <c r="FF73" t="str">
        <f t="shared" si="288"/>
        <v>Steerage</v>
      </c>
    </row>
    <row r="74" spans="1:162">
      <c r="A74" t="s">
        <v>502</v>
      </c>
      <c r="C74" s="66" t="str">
        <f>IF( D74&lt;5, "Shared", "Common" )</f>
        <v>Common</v>
      </c>
      <c r="D74" s="197">
        <v>10</v>
      </c>
      <c r="E74" s="66"/>
      <c r="F74" s="66"/>
      <c r="G74" s="11">
        <v>1</v>
      </c>
      <c r="H74" s="28"/>
      <c r="I74" s="4"/>
      <c r="J74" s="48">
        <f xml:space="preserve"> ROUNDUP( G74 * J73/10, 0 )</f>
        <v>0</v>
      </c>
      <c r="K74" s="51">
        <f>J74 * 1</f>
        <v>0</v>
      </c>
      <c r="L74" s="51">
        <f>J74 * 1</f>
        <v>0</v>
      </c>
      <c r="M74" s="48"/>
      <c r="N74" s="48"/>
      <c r="O74" s="48"/>
      <c r="P74" s="47"/>
      <c r="Q74" s="47"/>
      <c r="R74" s="106"/>
      <c r="S74" s="226"/>
      <c r="T74" s="106"/>
      <c r="U74" s="106"/>
      <c r="V74" s="106"/>
      <c r="W74" s="106"/>
      <c r="X74" s="106"/>
      <c r="Y74" s="156"/>
      <c r="Z74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74" s="160" t="str">
        <f t="shared" si="284"/>
        <v/>
      </c>
      <c r="AB74" s="161" t="str">
        <f t="shared" si="285"/>
        <v>Freshers Common</v>
      </c>
      <c r="AC74" s="160" t="str">
        <f t="shared" si="282"/>
        <v xml:space="preserve">                </v>
      </c>
      <c r="AD74" s="160" t="str">
        <f t="shared" si="289"/>
        <v xml:space="preserve">           </v>
      </c>
      <c r="AE74" s="162" t="str">
        <f t="shared" si="232"/>
        <v>0</v>
      </c>
      <c r="AF74" s="160" t="str">
        <f t="shared" si="290"/>
        <v xml:space="preserve">           </v>
      </c>
      <c r="AG74" s="161" t="str">
        <f t="shared" si="233"/>
        <v>0</v>
      </c>
      <c r="AH74" s="160" t="str">
        <f t="shared" si="53"/>
        <v xml:space="preserve">           </v>
      </c>
      <c r="AI74" s="163" t="str">
        <f t="shared" si="234"/>
        <v>0</v>
      </c>
      <c r="AJ74" s="160" t="str">
        <f t="shared" si="283"/>
        <v xml:space="preserve">      </v>
      </c>
      <c r="AK74" s="163" t="str">
        <f t="shared" si="287"/>
        <v/>
      </c>
      <c r="AL74" s="163"/>
      <c r="AM74" s="153"/>
      <c r="AN74" s="153"/>
      <c r="AO74" s="153"/>
      <c r="AP74" s="153"/>
      <c r="AR74" s="31"/>
      <c r="DL74"/>
      <c r="DQ74" s="44"/>
      <c r="DW74" s="194">
        <f xml:space="preserve"> SUM( DX$4:DX74, -DX74 )</f>
        <v>0</v>
      </c>
      <c r="DX74" s="194">
        <v>0</v>
      </c>
      <c r="DY74" s="194">
        <f xml:space="preserve"> SUM( DZ$4:DZ74, -DZ74 )</f>
        <v>13</v>
      </c>
      <c r="DZ74" s="194">
        <v>0</v>
      </c>
      <c r="EA74" s="194">
        <f xml:space="preserve"> SUM( EB$4:EB74, -EB74 )</f>
        <v>12</v>
      </c>
      <c r="EB74" s="194">
        <v>0</v>
      </c>
      <c r="EC74" s="194">
        <f xml:space="preserve"> SUM( ED$4:ED74, -ED74 )</f>
        <v>0</v>
      </c>
      <c r="ED74" s="194">
        <v>0</v>
      </c>
      <c r="EE74" s="194">
        <f xml:space="preserve"> SUM( EF$4:EF74, -EF74 )</f>
        <v>0</v>
      </c>
      <c r="EF74" s="194">
        <v>0</v>
      </c>
      <c r="EG74" s="194">
        <f xml:space="preserve"> SUM( EH$4:EH74, -EH74 )</f>
        <v>0</v>
      </c>
      <c r="EH74" s="194">
        <f t="shared" si="286"/>
        <v>0</v>
      </c>
      <c r="EI74" s="194">
        <f xml:space="preserve"> SUM( EJ$4:EJ74, -EJ74 )</f>
        <v>0</v>
      </c>
      <c r="EJ74" s="194">
        <v>0</v>
      </c>
      <c r="EK74" s="194">
        <f xml:space="preserve"> SUM( EL$4:EL74, -EL74 )</f>
        <v>0</v>
      </c>
      <c r="EL74" s="194">
        <v>0</v>
      </c>
      <c r="EM74" s="194">
        <f xml:space="preserve"> SUM( EN$4:EN74, -EN74 )</f>
        <v>0</v>
      </c>
      <c r="EN74" s="194">
        <v>0</v>
      </c>
      <c r="EO74" s="194">
        <f xml:space="preserve"> SUM( EP$4:EP74, -EP74 )</f>
        <v>0</v>
      </c>
      <c r="EP74" s="194">
        <v>0</v>
      </c>
      <c r="EQ74" s="194">
        <f xml:space="preserve"> SUM( ER$4:ER74, -ER74 )</f>
        <v>24</v>
      </c>
      <c r="ER74" s="194">
        <v>0</v>
      </c>
      <c r="ES74" s="194">
        <f xml:space="preserve"> SUM( ET$4:ET74, -ET74 )</f>
        <v>0</v>
      </c>
      <c r="ET74" s="194">
        <v>0</v>
      </c>
      <c r="EU74" s="194">
        <f xml:space="preserve"> SUM( EV$4:EV74, -EV74 )</f>
        <v>10</v>
      </c>
      <c r="EV74" s="194">
        <v>0</v>
      </c>
      <c r="EW74" s="194">
        <f xml:space="preserve"> SUM( EX$4:EX74, -EX74 )</f>
        <v>6</v>
      </c>
      <c r="EX74" s="194">
        <v>0</v>
      </c>
      <c r="EZ74" t="s">
        <v>74</v>
      </c>
      <c r="FB74" s="237">
        <f xml:space="preserve"> SUM( FC$4:FC74, -FC74 )</f>
        <v>4</v>
      </c>
      <c r="FC74" s="237">
        <v>0</v>
      </c>
      <c r="FD74" s="237">
        <f xml:space="preserve"> SUM( FE$4:FE74, -FE74 )</f>
        <v>1</v>
      </c>
      <c r="FE74" s="237">
        <v>0</v>
      </c>
      <c r="FF74" t="str">
        <f t="shared" si="288"/>
        <v>Ste Freshers, Common</v>
      </c>
    </row>
    <row r="75" spans="1:162">
      <c r="A75" s="55" t="s">
        <v>497</v>
      </c>
      <c r="C75" s="66"/>
      <c r="D75" s="66"/>
      <c r="E75" s="66"/>
      <c r="F75" s="66"/>
      <c r="G75" s="105">
        <f xml:space="preserve"> J73 - SUM( K73:K74 )</f>
        <v>0</v>
      </c>
      <c r="H75" s="86"/>
      <c r="I75" s="4"/>
      <c r="J75" s="191">
        <f>G75</f>
        <v>0</v>
      </c>
      <c r="K75" s="194">
        <f>J75</f>
        <v>0</v>
      </c>
      <c r="L75" s="194">
        <f>J75 * 0</f>
        <v>0</v>
      </c>
      <c r="M75" s="191"/>
      <c r="N75" s="191"/>
      <c r="O75" s="191"/>
      <c r="P75" s="106"/>
      <c r="Q75" s="106"/>
      <c r="R75" s="106"/>
      <c r="S75" s="226"/>
      <c r="T75" s="106"/>
      <c r="U75" s="106"/>
      <c r="V75" s="106"/>
      <c r="W75" s="106"/>
      <c r="X75" s="106"/>
      <c r="Y75" s="156"/>
      <c r="Z75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75" s="160" t="str">
        <f t="shared" si="284"/>
        <v/>
      </c>
      <c r="AB75" s="161" t="str">
        <f t="shared" si="285"/>
        <v xml:space="preserve">Common Areas </v>
      </c>
      <c r="AC75" s="160" t="str">
        <f t="shared" si="282"/>
        <v xml:space="preserve">                  </v>
      </c>
      <c r="AD75" s="160" t="str">
        <f t="shared" ref="AD75" si="291" xml:space="preserve"> CONCATENATE( REPT(" ",MAX(0,12-LEN(AE75))) )</f>
        <v xml:space="preserve">           </v>
      </c>
      <c r="AE75" s="162" t="str">
        <f t="shared" ref="AE75" si="292" xml:space="preserve"> CONCATENATE( J75 )</f>
        <v>0</v>
      </c>
      <c r="AF75" s="160" t="str">
        <f t="shared" ref="AF75" si="293" xml:space="preserve"> CONCATENATE( REPT(" ",MAX(0,12-LEN(AG75))) )</f>
        <v xml:space="preserve">           </v>
      </c>
      <c r="AG75" s="161" t="str">
        <f t="shared" ref="AG75" si="294" xml:space="preserve"> CONCATENATE( K75 )</f>
        <v>0</v>
      </c>
      <c r="AH75" s="160" t="str">
        <f t="shared" ref="AH75" si="295" xml:space="preserve"> CONCATENATE( REPT(" ",MAX(0,12-LEN(AI75))) )</f>
        <v xml:space="preserve">           </v>
      </c>
      <c r="AI75" s="163" t="str">
        <f t="shared" ref="AI75" si="296" xml:space="preserve"> CONCATENATE( L75 )</f>
        <v>0</v>
      </c>
      <c r="AJ75" s="160" t="str">
        <f t="shared" si="283"/>
        <v xml:space="preserve">      </v>
      </c>
      <c r="AK75" s="163" t="str">
        <f t="shared" si="287"/>
        <v/>
      </c>
      <c r="AL75" s="163"/>
      <c r="AM75" s="153"/>
      <c r="AN75" s="153"/>
      <c r="AO75" s="153"/>
      <c r="AP75" s="153"/>
      <c r="AR75" s="85"/>
      <c r="DL75"/>
      <c r="DQ75" s="44"/>
      <c r="DW75" s="194">
        <f xml:space="preserve"> SUM( DX$4:DX75, -DX75 )</f>
        <v>0</v>
      </c>
      <c r="DX75" s="194">
        <v>0</v>
      </c>
      <c r="DY75" s="194">
        <f xml:space="preserve"> SUM( DZ$4:DZ75, -DZ75 )</f>
        <v>13</v>
      </c>
      <c r="DZ75" s="194">
        <v>0</v>
      </c>
      <c r="EA75" s="194">
        <f xml:space="preserve"> SUM( EB$4:EB75, -EB75 )</f>
        <v>12</v>
      </c>
      <c r="EB75" s="194">
        <v>0</v>
      </c>
      <c r="EC75" s="194">
        <f xml:space="preserve"> SUM( ED$4:ED75, -ED75 )</f>
        <v>0</v>
      </c>
      <c r="ED75" s="194">
        <v>0</v>
      </c>
      <c r="EE75" s="194">
        <f xml:space="preserve"> SUM( EF$4:EF75, -EF75 )</f>
        <v>0</v>
      </c>
      <c r="EF75" s="194">
        <v>0</v>
      </c>
      <c r="EG75" s="194">
        <f xml:space="preserve"> SUM( EH$4:EH75, -EH75 )</f>
        <v>0</v>
      </c>
      <c r="EH75" s="194">
        <f t="shared" si="286"/>
        <v>0</v>
      </c>
      <c r="EI75" s="194">
        <f xml:space="preserve"> SUM( EJ$4:EJ75, -EJ75 )</f>
        <v>0</v>
      </c>
      <c r="EJ75" s="194">
        <v>0</v>
      </c>
      <c r="EK75" s="194">
        <f xml:space="preserve"> SUM( EL$4:EL75, -EL75 )</f>
        <v>0</v>
      </c>
      <c r="EL75" s="194">
        <v>0</v>
      </c>
      <c r="EM75" s="194">
        <f xml:space="preserve"> SUM( EN$4:EN75, -EN75 )</f>
        <v>0</v>
      </c>
      <c r="EN75" s="194">
        <v>0</v>
      </c>
      <c r="EO75" s="194">
        <f xml:space="preserve"> SUM( EP$4:EP75, -EP75 )</f>
        <v>0</v>
      </c>
      <c r="EP75" s="194">
        <v>0</v>
      </c>
      <c r="EQ75" s="194">
        <f xml:space="preserve"> SUM( ER$4:ER75, -ER75 )</f>
        <v>24</v>
      </c>
      <c r="ER75" s="194">
        <v>0</v>
      </c>
      <c r="ES75" s="194">
        <f xml:space="preserve"> SUM( ET$4:ET75, -ET75 )</f>
        <v>0</v>
      </c>
      <c r="ET75" s="194">
        <v>0</v>
      </c>
      <c r="EU75" s="194">
        <f xml:space="preserve"> SUM( EV$4:EV75, -EV75 )</f>
        <v>10</v>
      </c>
      <c r="EV75" s="194">
        <v>0</v>
      </c>
      <c r="EW75" s="194">
        <f xml:space="preserve"> SUM( EX$4:EX75, -EX75 )</f>
        <v>6</v>
      </c>
      <c r="EX75" s="194">
        <v>0</v>
      </c>
      <c r="EZ75" t="s">
        <v>220</v>
      </c>
      <c r="FB75" s="237">
        <f xml:space="preserve"> SUM( FC$4:FC75, -FC75 )</f>
        <v>4</v>
      </c>
      <c r="FC75" s="237">
        <v>0</v>
      </c>
      <c r="FD75" s="237">
        <f xml:space="preserve"> SUM( FE$4:FE75, -FE75 )</f>
        <v>1</v>
      </c>
      <c r="FE75" s="237">
        <v>0</v>
      </c>
      <c r="FF75" t="str">
        <f t="shared" si="288"/>
        <v>Ste Common Areas</v>
      </c>
    </row>
    <row r="76" spans="1:162">
      <c r="A76" s="94" t="s">
        <v>1146</v>
      </c>
      <c r="B76" s="149"/>
      <c r="C76" s="245">
        <f>AV76</f>
        <v>0</v>
      </c>
      <c r="D76" s="107" t="s">
        <v>1072</v>
      </c>
      <c r="E76" s="66"/>
      <c r="F76" s="66"/>
      <c r="G76" s="105">
        <f xml:space="preserve"> 1 * ( D76&lt;&gt;Tables!$A$491 )</f>
        <v>0</v>
      </c>
      <c r="H76" s="86"/>
      <c r="I76" s="4"/>
      <c r="J76" s="48">
        <f xml:space="preserve"> G76</f>
        <v>0</v>
      </c>
      <c r="K76" s="123">
        <f xml:space="preserve"> J76 * AR76</f>
        <v>0</v>
      </c>
      <c r="L76" s="123">
        <f xml:space="preserve"> J76 * AS76</f>
        <v>0</v>
      </c>
      <c r="M76" s="48"/>
      <c r="N76" s="48"/>
      <c r="O76" s="48"/>
      <c r="P76" s="106"/>
      <c r="Q76" s="106"/>
      <c r="R76" s="106"/>
      <c r="S76" s="226"/>
      <c r="T76" t="str">
        <f xml:space="preserve"> IF( K76&gt;0, CONCATENATE( DQ76, DR76, DS76, DT76, DU76 ), "" )</f>
        <v/>
      </c>
      <c r="U76" s="106"/>
      <c r="V76" s="106"/>
      <c r="W76" s="106"/>
      <c r="X76" s="106"/>
      <c r="Y76" s="156"/>
      <c r="Z76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76" s="160" t="str">
        <f t="shared" si="284"/>
        <v/>
      </c>
      <c r="AB76" s="161" t="str">
        <f xml:space="preserve"> CONCATENATE( A76 &amp; " " &amp; D76 )</f>
        <v>Barracks None</v>
      </c>
      <c r="AC76" s="160" t="str">
        <f t="shared" si="282"/>
        <v xml:space="preserve">                  </v>
      </c>
      <c r="AD76" s="160" t="str">
        <f t="shared" ref="AD76" si="297" xml:space="preserve"> CONCATENATE( REPT(" ",MAX(0,12-LEN(AE76))) )</f>
        <v xml:space="preserve">           </v>
      </c>
      <c r="AE76" s="162" t="str">
        <f t="shared" ref="AE76" si="298" xml:space="preserve"> CONCATENATE( J76 )</f>
        <v>0</v>
      </c>
      <c r="AF76" s="160" t="str">
        <f t="shared" ref="AF76" si="299" xml:space="preserve"> CONCATENATE( REPT(" ",MAX(0,12-LEN(AG76))) )</f>
        <v xml:space="preserve">           </v>
      </c>
      <c r="AG76" s="161" t="str">
        <f t="shared" ref="AG76" si="300" xml:space="preserve"> CONCATENATE( K76 )</f>
        <v>0</v>
      </c>
      <c r="AH76" s="160" t="str">
        <f t="shared" ref="AH76" si="301" xml:space="preserve"> CONCATENATE( REPT(" ",MAX(0,12-LEN(AI76))) )</f>
        <v xml:space="preserve">           </v>
      </c>
      <c r="AI76" s="163" t="str">
        <f t="shared" ref="AI76" si="302" xml:space="preserve"> CONCATENATE( L76 )</f>
        <v>0</v>
      </c>
      <c r="AJ76" s="160" t="str">
        <f t="shared" si="283"/>
        <v xml:space="preserve">      </v>
      </c>
      <c r="AK76" s="163" t="str">
        <f t="shared" si="287"/>
        <v/>
      </c>
      <c r="AL76" s="163"/>
      <c r="AM76" s="153"/>
      <c r="AN76" s="153"/>
      <c r="AO76" s="153"/>
      <c r="AP76" s="153"/>
      <c r="AR76" s="77">
        <f xml:space="preserve"> VLOOKUP( $D76, Tables!$A$491:$E$494, 3, 0 )</f>
        <v>0</v>
      </c>
      <c r="AS76" s="77">
        <f xml:space="preserve"> VLOOKUP( $D76, Tables!$A$491:$E$494, 4, 0 )</f>
        <v>0</v>
      </c>
      <c r="AT76" s="77">
        <f xml:space="preserve"> VLOOKUP( $D76, Tables!$A$491:$E$494, 5, 0 )</f>
        <v>0</v>
      </c>
      <c r="AV76">
        <f xml:space="preserve"> J76 * AT76</f>
        <v>0</v>
      </c>
      <c r="DL76">
        <f ca="1" xml:space="preserve"> IF( $AV76=Tables!$C$189, 5, RANDBETWEEN(1,6)+RANDBETWEEN(1,6)-2 )</f>
        <v>5</v>
      </c>
      <c r="DM76">
        <f ca="1" xml:space="preserve"> IF( $AV76=Tables!$C$189, 0, RANDBETWEEN(1,6)-RANDBETWEEN(1,6)+ VLOOKUP( $AS76, Tables!$A$184:$Q$193,  14 ) )</f>
        <v>-4</v>
      </c>
      <c r="DN76">
        <f ca="1" xml:space="preserve"> IF( $AV76=Tables!$C$189, 0, RANDBETWEEN(1,6)-RANDBETWEEN(1,6)+ VLOOKUP( $AS76, Tables!$A$184:$Q$193,  15 ) )</f>
        <v>1</v>
      </c>
      <c r="DO76">
        <f ca="1" xml:space="preserve"> IF( $AV76=Tables!$C$189, 0, RANDBETWEEN(1,6)-RANDBETWEEN(1,6)+ VLOOKUP( $AS76, Tables!$A$184:$Q$193,  16 ) )</f>
        <v>2</v>
      </c>
      <c r="DP76">
        <f ca="1" xml:space="preserve"> IF( $AV76=Tables!$C$189, 0, RANDBETWEEN(1,6)-RANDBETWEEN(1,6)+ VLOOKUP( $AS76, Tables!$A$184:$Q$193,  17 ) )</f>
        <v>-2</v>
      </c>
      <c r="DQ76" s="44" t="str">
        <f ca="1" xml:space="preserve"> VLOOKUP( $DL76,Tables!$B$2:$C$36,2)</f>
        <v>5</v>
      </c>
      <c r="DR76" t="str">
        <f t="shared" ref="DR76" ca="1" si="303" xml:space="preserve"> IF( DM76&lt;0, CONCATENATE( DM76 ), CONCATENATE( " ", DM76 ) )</f>
        <v>-4</v>
      </c>
      <c r="DS76" t="str">
        <f t="shared" ref="DS76" ca="1" si="304" xml:space="preserve"> IF( DN76&lt;0, CONCATENATE( DN76 ), CONCATENATE( " ", DN76 ) )</f>
        <v xml:space="preserve"> 1</v>
      </c>
      <c r="DT76" t="str">
        <f t="shared" ref="DT76" ca="1" si="305" xml:space="preserve"> IF( DO76&lt;0, CONCATENATE( DO76 ), CONCATENATE( " ", DO76 ) )</f>
        <v xml:space="preserve"> 2</v>
      </c>
      <c r="DU76" t="str">
        <f t="shared" ref="DU76" ca="1" si="306" xml:space="preserve"> IF( DP76&lt;0, CONCATENATE( DP76 ), CONCATENATE( " ", DP76 ) )</f>
        <v>-2</v>
      </c>
      <c r="DW76" s="194">
        <f xml:space="preserve"> SUM( DX$4:DX76, -DX76 )</f>
        <v>0</v>
      </c>
      <c r="DX76" s="194">
        <v>0</v>
      </c>
      <c r="DY76" s="194">
        <f xml:space="preserve"> SUM( DZ$4:DZ76, -DZ76 )</f>
        <v>13</v>
      </c>
      <c r="DZ76" s="194">
        <v>0</v>
      </c>
      <c r="EA76" s="194">
        <f xml:space="preserve"> SUM( EB$4:EB76, -EB76 )</f>
        <v>12</v>
      </c>
      <c r="EB76" s="194">
        <v>0</v>
      </c>
      <c r="EC76" s="194">
        <f xml:space="preserve"> SUM( ED$4:ED76, -ED76 )</f>
        <v>0</v>
      </c>
      <c r="ED76" s="194">
        <v>0</v>
      </c>
      <c r="EE76" s="194">
        <f xml:space="preserve"> SUM( EF$4:EF76, -EF76 )</f>
        <v>0</v>
      </c>
      <c r="EF76" s="194">
        <v>0</v>
      </c>
      <c r="EG76" s="194">
        <f xml:space="preserve"> SUM( EH$4:EH76, -EH76 )</f>
        <v>0</v>
      </c>
      <c r="EH76" s="194">
        <f t="shared" si="286"/>
        <v>0</v>
      </c>
      <c r="EI76" s="194">
        <f xml:space="preserve"> SUM( EJ$4:EJ76, -EJ76 )</f>
        <v>0</v>
      </c>
      <c r="EJ76" s="194">
        <v>0</v>
      </c>
      <c r="EK76" s="194">
        <f xml:space="preserve"> SUM( EL$4:EL76, -EL76 )</f>
        <v>0</v>
      </c>
      <c r="EL76" s="194">
        <v>0</v>
      </c>
      <c r="EM76" s="194">
        <f xml:space="preserve"> SUM( EN$4:EN76, -EN76 )</f>
        <v>0</v>
      </c>
      <c r="EN76" s="194">
        <v>0</v>
      </c>
      <c r="EO76" s="194">
        <f xml:space="preserve"> SUM( EP$4:EP76, -EP76 )</f>
        <v>0</v>
      </c>
      <c r="EP76" s="194">
        <v>0</v>
      </c>
      <c r="EQ76" s="194">
        <f xml:space="preserve"> SUM( ER$4:ER76, -ER76 )</f>
        <v>24</v>
      </c>
      <c r="ER76" s="194">
        <v>0</v>
      </c>
      <c r="ES76" s="194">
        <f xml:space="preserve"> SUM( ET$4:ET76, -ET76 )</f>
        <v>0</v>
      </c>
      <c r="ET76" s="194">
        <v>0</v>
      </c>
      <c r="EU76" s="194">
        <f xml:space="preserve"> SUM( EV$4:EV76, -EV76 )</f>
        <v>10</v>
      </c>
      <c r="EV76" s="194">
        <v>0</v>
      </c>
      <c r="EW76" s="194">
        <f xml:space="preserve"> SUM( EX$4:EX76, -EX76 )</f>
        <v>6</v>
      </c>
      <c r="EX76" s="194">
        <v>0</v>
      </c>
      <c r="EZ76" t="str">
        <f t="shared" ref="EZ76" si="307">A76</f>
        <v>Barracks</v>
      </c>
      <c r="FB76" s="237">
        <f xml:space="preserve"> SUM( FC$4:FC76, -FC76 )</f>
        <v>4</v>
      </c>
      <c r="FC76" s="237">
        <v>0</v>
      </c>
      <c r="FD76" s="237">
        <f xml:space="preserve"> SUM( FE$4:FE76, -FE76 )</f>
        <v>1</v>
      </c>
      <c r="FE76" s="237">
        <v>0</v>
      </c>
      <c r="FF76" t="str">
        <f t="shared" si="288"/>
        <v>Barracks</v>
      </c>
    </row>
    <row r="77" spans="1:162">
      <c r="A77" s="55" t="s">
        <v>428</v>
      </c>
      <c r="B77" s="8"/>
      <c r="C77" s="15"/>
      <c r="D77" s="15"/>
      <c r="E77" s="66"/>
      <c r="F77" s="66"/>
      <c r="G77" s="48">
        <f>LowPassengers</f>
        <v>0</v>
      </c>
      <c r="H77" s="86"/>
      <c r="I77" s="4"/>
      <c r="J77" s="48">
        <f>G77</f>
        <v>0</v>
      </c>
      <c r="K77" s="51">
        <f>J77 * 0.5</f>
        <v>0</v>
      </c>
      <c r="L77" s="51">
        <f>J77 * 0.1</f>
        <v>0</v>
      </c>
      <c r="M77" s="48"/>
      <c r="N77" s="48"/>
      <c r="O77" s="48"/>
      <c r="P77" s="47"/>
      <c r="Q77" s="47"/>
      <c r="R77" s="106"/>
      <c r="S77" s="226"/>
      <c r="T77" t="str">
        <f xml:space="preserve"> IF( K77&gt;0, CONCATENATE( DQ77, DR77, DS77, DT77, DU77 ), "" )</f>
        <v/>
      </c>
      <c r="U77" s="106"/>
      <c r="V77" s="106"/>
      <c r="W77" s="106"/>
      <c r="X77" s="106"/>
      <c r="Y77" s="156"/>
      <c r="Z77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</v>
      </c>
      <c r="AA77" s="160" t="str">
        <f t="shared" si="284"/>
        <v/>
      </c>
      <c r="AB77" s="161" t="str">
        <f t="shared" si="285"/>
        <v xml:space="preserve">Low Berth </v>
      </c>
      <c r="AC77" s="160" t="str">
        <f t="shared" si="282"/>
        <v xml:space="preserve">                     </v>
      </c>
      <c r="AD77" s="160" t="str">
        <f t="shared" si="289"/>
        <v xml:space="preserve">           </v>
      </c>
      <c r="AE77" s="162" t="str">
        <f t="shared" si="232"/>
        <v>0</v>
      </c>
      <c r="AF77" s="160" t="str">
        <f t="shared" si="290"/>
        <v xml:space="preserve">           </v>
      </c>
      <c r="AG77" s="161" t="str">
        <f t="shared" si="233"/>
        <v>0</v>
      </c>
      <c r="AH77" s="160" t="str">
        <f t="shared" si="53"/>
        <v xml:space="preserve">           </v>
      </c>
      <c r="AI77" s="163" t="str">
        <f t="shared" si="234"/>
        <v>0</v>
      </c>
      <c r="AJ77" s="160" t="str">
        <f t="shared" si="283"/>
        <v xml:space="preserve">      </v>
      </c>
      <c r="AK77" s="163" t="str">
        <f t="shared" si="287"/>
        <v/>
      </c>
      <c r="AL77" s="163"/>
      <c r="AM77" s="153"/>
      <c r="AN77" s="153"/>
      <c r="AO77" s="153"/>
      <c r="AP77" s="153"/>
      <c r="AR77" s="31"/>
      <c r="DL77">
        <f ca="1" xml:space="preserve"> IF( $AV77=Tables!$C$189, 5, RANDBETWEEN(1,6)+RANDBETWEEN(1,6)-2 )</f>
        <v>2</v>
      </c>
      <c r="DM77">
        <f ca="1" xml:space="preserve"> IF( $AV77=Tables!$C$189, 0, RANDBETWEEN(1,6)-RANDBETWEEN(1,6)+ VLOOKUP( $AS77, Tables!$A$184:$Q$193,  14 ) )</f>
        <v>-1</v>
      </c>
      <c r="DN77">
        <f ca="1" xml:space="preserve"> IF( $AV77=Tables!$C$189, 0, RANDBETWEEN(1,6)-RANDBETWEEN(1,6)+ VLOOKUP( $AS77, Tables!$A$184:$Q$193,  15 ) )</f>
        <v>3</v>
      </c>
      <c r="DO77">
        <f ca="1" xml:space="preserve"> IF( $AV77=Tables!$C$189, 0, RANDBETWEEN(1,6)-RANDBETWEEN(1,6)+ VLOOKUP( $AS77, Tables!$A$184:$Q$193,  16 ) )</f>
        <v>-4</v>
      </c>
      <c r="DP77">
        <f ca="1" xml:space="preserve"> IF( $AV77=Tables!$C$189, 0, RANDBETWEEN(1,6)-RANDBETWEEN(1,6)+ VLOOKUP( $AS77, Tables!$A$184:$Q$193,  17 ) )</f>
        <v>-4</v>
      </c>
      <c r="DQ77" s="44" t="str">
        <f ca="1" xml:space="preserve"> VLOOKUP( $DL77,Tables!$B$2:$C$36,2)</f>
        <v>2</v>
      </c>
      <c r="DR77" t="str">
        <f t="shared" ref="DR77" ca="1" si="308" xml:space="preserve"> IF( DM77&lt;0, CONCATENATE( DM77 ), CONCATENATE( " ", DM77 ) )</f>
        <v>-1</v>
      </c>
      <c r="DS77" t="str">
        <f t="shared" ref="DS77" ca="1" si="309" xml:space="preserve"> IF( DN77&lt;0, CONCATENATE( DN77 ), CONCATENATE( " ", DN77 ) )</f>
        <v xml:space="preserve"> 3</v>
      </c>
      <c r="DT77" t="str">
        <f t="shared" ref="DT77" ca="1" si="310" xml:space="preserve"> IF( DO77&lt;0, CONCATENATE( DO77 ), CONCATENATE( " ", DO77 ) )</f>
        <v>-4</v>
      </c>
      <c r="DU77" t="str">
        <f t="shared" ref="DU77" ca="1" si="311" xml:space="preserve"> IF( DP77&lt;0, CONCATENATE( DP77 ), CONCATENATE( " ", DP77 ) )</f>
        <v>-4</v>
      </c>
      <c r="DW77" s="194">
        <f xml:space="preserve"> SUM( DX$4:DX77, -DX77 )</f>
        <v>0</v>
      </c>
      <c r="DX77" s="194">
        <v>0</v>
      </c>
      <c r="DY77" s="194">
        <f xml:space="preserve"> SUM( DZ$4:DZ77, -DZ77 )</f>
        <v>13</v>
      </c>
      <c r="DZ77" s="194">
        <v>0</v>
      </c>
      <c r="EA77" s="194">
        <f xml:space="preserve"> SUM( EB$4:EB77, -EB77 )</f>
        <v>12</v>
      </c>
      <c r="EB77" s="194">
        <v>0</v>
      </c>
      <c r="EC77" s="194">
        <f xml:space="preserve"> SUM( ED$4:ED77, -ED77 )</f>
        <v>0</v>
      </c>
      <c r="ED77" s="194">
        <v>0</v>
      </c>
      <c r="EE77" s="194">
        <f xml:space="preserve"> SUM( EF$4:EF77, -EF77 )</f>
        <v>0</v>
      </c>
      <c r="EF77" s="194">
        <v>0</v>
      </c>
      <c r="EG77" s="194">
        <f xml:space="preserve"> SUM( EH$4:EH77, -EH77 )</f>
        <v>0</v>
      </c>
      <c r="EH77" s="194">
        <f t="shared" si="286"/>
        <v>0</v>
      </c>
      <c r="EI77" s="194">
        <f xml:space="preserve"> SUM( EJ$4:EJ77, -EJ77 )</f>
        <v>0</v>
      </c>
      <c r="EJ77" s="194">
        <v>0</v>
      </c>
      <c r="EK77" s="194">
        <f xml:space="preserve"> SUM( EL$4:EL77, -EL77 )</f>
        <v>0</v>
      </c>
      <c r="EL77" s="194">
        <v>0</v>
      </c>
      <c r="EM77" s="194">
        <f xml:space="preserve"> SUM( EN$4:EN77, -EN77 )</f>
        <v>0</v>
      </c>
      <c r="EN77" s="194">
        <v>0</v>
      </c>
      <c r="EO77" s="194">
        <f xml:space="preserve"> SUM( EP$4:EP77, -EP77 )</f>
        <v>0</v>
      </c>
      <c r="EP77" s="194">
        <v>0</v>
      </c>
      <c r="EQ77" s="194">
        <f xml:space="preserve"> SUM( ER$4:ER77, -ER77 )</f>
        <v>24</v>
      </c>
      <c r="ER77" s="194">
        <v>0</v>
      </c>
      <c r="ES77" s="194">
        <f xml:space="preserve"> SUM( ET$4:ET77, -ET77 )</f>
        <v>0</v>
      </c>
      <c r="ET77" s="194">
        <v>0</v>
      </c>
      <c r="EU77" s="194">
        <f xml:space="preserve"> SUM( EV$4:EV77, -EV77 )</f>
        <v>10</v>
      </c>
      <c r="EV77" s="194">
        <v>0</v>
      </c>
      <c r="EW77" s="194">
        <f xml:space="preserve"> SUM( EX$4:EX77, -EX77 )</f>
        <v>6</v>
      </c>
      <c r="EX77" s="194">
        <v>0</v>
      </c>
      <c r="EZ77" t="str">
        <f t="shared" ref="EZ77:EZ124" si="312">A77</f>
        <v>Low Berth</v>
      </c>
      <c r="FB77" s="237">
        <f xml:space="preserve"> SUM( FC$4:FC77, -FC77 )</f>
        <v>4</v>
      </c>
      <c r="FC77" s="237">
        <v>0</v>
      </c>
      <c r="FD77" s="237">
        <f xml:space="preserve"> SUM( FE$4:FE77, -FE77 )</f>
        <v>1</v>
      </c>
      <c r="FE77" s="237">
        <v>0</v>
      </c>
      <c r="FF77" t="str">
        <f t="shared" si="288"/>
        <v>Low Berth</v>
      </c>
    </row>
    <row r="78" spans="1:162">
      <c r="A78" s="54" t="s">
        <v>192</v>
      </c>
      <c r="C78" s="111">
        <f xml:space="preserve"> SUM( K78:K87 )</f>
        <v>2.1</v>
      </c>
      <c r="D78" s="15"/>
      <c r="E78" s="66"/>
      <c r="F78" s="66"/>
      <c r="G78" s="48"/>
      <c r="H78" s="28"/>
      <c r="I78" s="4"/>
      <c r="J78" s="48"/>
      <c r="K78" s="51"/>
      <c r="L78" s="51"/>
      <c r="M78" s="48"/>
      <c r="N78" s="48"/>
      <c r="O78" s="48"/>
      <c r="P78" s="47"/>
      <c r="Q78" s="47"/>
      <c r="R78" s="106"/>
      <c r="S78" s="226"/>
      <c r="T78" s="106"/>
      <c r="U78" s="106"/>
      <c r="V78" s="106"/>
      <c r="W78" s="106"/>
      <c r="X78" s="106"/>
      <c r="Y78" s="156"/>
      <c r="Z78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</v>
      </c>
      <c r="AA78" s="160" t="str">
        <f xml:space="preserve"> IF( OR(C78&gt;0), CONCATENATE( newline &amp; AB78 &amp; AC78 &amp; AD78 &amp; AE78 &amp; AF78 &amp; AG78 &amp; AH78 &amp; AI78 &amp; AJ78 &amp; AK78 ), "" )</f>
        <v xml:space="preserve">
Life Support:                                                            </v>
      </c>
      <c r="AB78" s="161" t="str">
        <f t="shared" si="231"/>
        <v>Life Support:</v>
      </c>
      <c r="AC78" s="160" t="str">
        <f t="shared" si="282"/>
        <v xml:space="preserve">                  </v>
      </c>
      <c r="AD78" s="160" t="str">
        <f t="shared" si="289"/>
        <v xml:space="preserve">            </v>
      </c>
      <c r="AE78" s="162" t="str">
        <f t="shared" si="232"/>
        <v/>
      </c>
      <c r="AF78" s="160" t="str">
        <f t="shared" si="290"/>
        <v xml:space="preserve">            </v>
      </c>
      <c r="AG78" s="161" t="str">
        <f t="shared" si="233"/>
        <v/>
      </c>
      <c r="AH78" s="160" t="str">
        <f t="shared" si="53"/>
        <v xml:space="preserve">            </v>
      </c>
      <c r="AI78" s="163" t="str">
        <f t="shared" si="234"/>
        <v/>
      </c>
      <c r="AJ78" s="160" t="str">
        <f t="shared" si="283"/>
        <v xml:space="preserve">      </v>
      </c>
      <c r="AK78" s="163" t="str">
        <f t="shared" si="287"/>
        <v/>
      </c>
      <c r="AL78" s="163"/>
      <c r="AM78" s="153"/>
      <c r="AN78" s="153"/>
      <c r="AO78" s="153"/>
      <c r="AP78" s="153"/>
      <c r="AR78" s="31"/>
      <c r="DL78"/>
      <c r="DQ78" s="44"/>
      <c r="DW78" s="194">
        <f xml:space="preserve"> SUM( DX$4:DX78, -DX78 )</f>
        <v>0</v>
      </c>
      <c r="DX78" s="194">
        <v>0</v>
      </c>
      <c r="DY78" s="194">
        <f xml:space="preserve"> SUM( DZ$4:DZ78, -DZ78 )</f>
        <v>13</v>
      </c>
      <c r="DZ78" s="194">
        <v>0</v>
      </c>
      <c r="EA78" s="194">
        <f xml:space="preserve"> SUM( EB$4:EB78, -EB78 )</f>
        <v>12</v>
      </c>
      <c r="EB78" s="194">
        <v>0</v>
      </c>
      <c r="EC78" s="194">
        <f xml:space="preserve"> SUM( ED$4:ED78, -ED78 )</f>
        <v>0</v>
      </c>
      <c r="ED78" s="194">
        <v>0</v>
      </c>
      <c r="EE78" s="194">
        <f xml:space="preserve"> SUM( EF$4:EF78, -EF78 )</f>
        <v>0</v>
      </c>
      <c r="EF78" s="194">
        <f>K78</f>
        <v>0</v>
      </c>
      <c r="EG78" s="194">
        <f xml:space="preserve"> SUM( EH$4:EH78, -EH78 )</f>
        <v>0</v>
      </c>
      <c r="EH78" s="194">
        <v>0</v>
      </c>
      <c r="EI78" s="194">
        <f xml:space="preserve"> SUM( EJ$4:EJ78, -EJ78 )</f>
        <v>0</v>
      </c>
      <c r="EJ78" s="194">
        <v>0</v>
      </c>
      <c r="EK78" s="194">
        <f xml:space="preserve"> SUM( EL$4:EL78, -EL78 )</f>
        <v>0</v>
      </c>
      <c r="EL78" s="194">
        <v>0</v>
      </c>
      <c r="EM78" s="194">
        <f xml:space="preserve"> SUM( EN$4:EN78, -EN78 )</f>
        <v>0</v>
      </c>
      <c r="EN78" s="194">
        <v>0</v>
      </c>
      <c r="EO78" s="194">
        <f xml:space="preserve"> SUM( EP$4:EP78, -EP78 )</f>
        <v>0</v>
      </c>
      <c r="EP78" s="194">
        <v>0</v>
      </c>
      <c r="EQ78" s="194">
        <f xml:space="preserve"> SUM( ER$4:ER78, -ER78 )</f>
        <v>24</v>
      </c>
      <c r="ER78" s="194">
        <v>0</v>
      </c>
      <c r="ES78" s="194">
        <f xml:space="preserve"> SUM( ET$4:ET78, -ET78 )</f>
        <v>0</v>
      </c>
      <c r="ET78" s="194">
        <v>0</v>
      </c>
      <c r="EU78" s="194">
        <f xml:space="preserve"> SUM( EV$4:EV78, -EV78 )</f>
        <v>10</v>
      </c>
      <c r="EV78" s="194">
        <v>0</v>
      </c>
      <c r="EW78" s="194">
        <f xml:space="preserve"> SUM( EX$4:EX78, -EX78 )</f>
        <v>6</v>
      </c>
      <c r="EX78" s="194">
        <v>0</v>
      </c>
      <c r="EZ78" t="str">
        <f t="shared" si="312"/>
        <v>Life Support:</v>
      </c>
      <c r="FB78" s="237">
        <f xml:space="preserve"> SUM( FC$4:FC78, -FC78 )</f>
        <v>4</v>
      </c>
      <c r="FC78" s="237">
        <v>0</v>
      </c>
      <c r="FD78" s="237">
        <f xml:space="preserve"> SUM( FE$4:FE78, -FE78 )</f>
        <v>1</v>
      </c>
      <c r="FE78" s="237">
        <v>0</v>
      </c>
      <c r="FF78" t="str">
        <f t="shared" si="288"/>
        <v>Life Support:</v>
      </c>
    </row>
    <row r="79" spans="1:162">
      <c r="A79" s="55" t="s">
        <v>1066</v>
      </c>
      <c r="C79" s="15" t="str">
        <f xml:space="preserve"> IF( Hull&gt;=100, "One required", "" )</f>
        <v>One required</v>
      </c>
      <c r="D79" s="15"/>
      <c r="E79" s="66"/>
      <c r="F79" s="66"/>
      <c r="G79" s="20">
        <v>0</v>
      </c>
      <c r="H79" s="28"/>
      <c r="I79" s="4"/>
      <c r="J79" s="48">
        <f xml:space="preserve"> MAX( 1*(Hull&gt;=100), ROUNDDOWN( G79, 0 ) )</f>
        <v>1</v>
      </c>
      <c r="K79" s="51">
        <f>J79*0.5</f>
        <v>0.5</v>
      </c>
      <c r="L79" s="51">
        <f>J79*0.5</f>
        <v>0.5</v>
      </c>
      <c r="M79" s="48"/>
      <c r="N79" s="48"/>
      <c r="O79" s="48"/>
      <c r="P79" s="47"/>
      <c r="Q79" s="47"/>
      <c r="R79" s="106"/>
      <c r="S79" s="226"/>
      <c r="T79" t="str">
        <f t="shared" ref="T79:T91" ca="1" si="313" xml:space="preserve"> IF( K79&gt;0, CONCATENATE( DQ79, DR79, DS79, DT79, DU79 ), "" )</f>
        <v>5 0 0-4-3</v>
      </c>
      <c r="U79" s="106"/>
      <c r="V79" s="106"/>
      <c r="W79" s="106"/>
      <c r="X79" s="106"/>
      <c r="Y79" s="156"/>
      <c r="Z79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</v>
      </c>
      <c r="AA79" s="160" t="str">
        <f t="shared" si="284"/>
        <v xml:space="preserve">
Med Console                               1         0,5         0,5      </v>
      </c>
      <c r="AB79" s="161" t="str">
        <f t="shared" si="231"/>
        <v>Med Console</v>
      </c>
      <c r="AC79" s="160" t="str">
        <f t="shared" si="282"/>
        <v xml:space="preserve">                    </v>
      </c>
      <c r="AD79" s="160" t="str">
        <f t="shared" si="289"/>
        <v xml:space="preserve">           </v>
      </c>
      <c r="AE79" s="162" t="str">
        <f t="shared" si="232"/>
        <v>1</v>
      </c>
      <c r="AF79" s="160" t="str">
        <f t="shared" si="290"/>
        <v xml:space="preserve">         </v>
      </c>
      <c r="AG79" s="161" t="str">
        <f t="shared" si="233"/>
        <v>0,5</v>
      </c>
      <c r="AH79" s="160" t="str">
        <f t="shared" si="53"/>
        <v xml:space="preserve">         </v>
      </c>
      <c r="AI79" s="163" t="str">
        <f t="shared" si="234"/>
        <v>0,5</v>
      </c>
      <c r="AJ79" s="160" t="str">
        <f t="shared" si="283"/>
        <v xml:space="preserve">      </v>
      </c>
      <c r="AK79" s="163" t="str">
        <f t="shared" si="287"/>
        <v/>
      </c>
      <c r="AL79" s="163"/>
      <c r="AM79" s="153"/>
      <c r="AN79" s="153"/>
      <c r="AO79" s="153"/>
      <c r="AP79" s="153"/>
      <c r="AR79" s="31"/>
      <c r="DL79">
        <f ca="1" xml:space="preserve"> IF( $AV79=Tables!$C$189, 5, RANDBETWEEN(1,6)+RANDBETWEEN(1,6)-2 )</f>
        <v>5</v>
      </c>
      <c r="DM79">
        <f ca="1" xml:space="preserve"> IF( $AV79=Tables!$C$189, 0, RANDBETWEEN(1,6)-RANDBETWEEN(1,6)+ VLOOKUP( $AS79, Tables!$A$184:$Q$193,  14 ) )</f>
        <v>0</v>
      </c>
      <c r="DN79">
        <f ca="1" xml:space="preserve"> IF( $AV79=Tables!$C$189, 0, RANDBETWEEN(1,6)-RANDBETWEEN(1,6)+ VLOOKUP( $AS79, Tables!$A$184:$Q$193,  15 ) )</f>
        <v>0</v>
      </c>
      <c r="DO79">
        <f ca="1" xml:space="preserve"> IF( $AV79=Tables!$C$189, 0, RANDBETWEEN(1,6)-RANDBETWEEN(1,6)+ VLOOKUP( $AS79, Tables!$A$184:$Q$193,  16 ) )</f>
        <v>-4</v>
      </c>
      <c r="DP79">
        <f ca="1" xml:space="preserve"> IF( $AV79=Tables!$C$189, 0, RANDBETWEEN(1,6)-RANDBETWEEN(1,6)+ VLOOKUP( $AS79, Tables!$A$184:$Q$193,  17 ) )</f>
        <v>-3</v>
      </c>
      <c r="DQ79" s="44" t="str">
        <f ca="1" xml:space="preserve"> VLOOKUP( $DL79,Tables!$B$2:$C$36,2)</f>
        <v>5</v>
      </c>
      <c r="DR79" t="str">
        <f t="shared" ref="DR79:DR86" ca="1" si="314" xml:space="preserve"> IF( DM79&lt;0, CONCATENATE( DM79 ), CONCATENATE( " ", DM79 ) )</f>
        <v xml:space="preserve"> 0</v>
      </c>
      <c r="DS79" t="str">
        <f t="shared" ref="DS79:DS86" ca="1" si="315" xml:space="preserve"> IF( DN79&lt;0, CONCATENATE( DN79 ), CONCATENATE( " ", DN79 ) )</f>
        <v xml:space="preserve"> 0</v>
      </c>
      <c r="DT79" t="str">
        <f t="shared" ref="DT79:DT86" ca="1" si="316" xml:space="preserve"> IF( DO79&lt;0, CONCATENATE( DO79 ), CONCATENATE( " ", DO79 ) )</f>
        <v>-4</v>
      </c>
      <c r="DU79" t="str">
        <f t="shared" ref="DU79:DU86" ca="1" si="317" xml:space="preserve"> IF( DP79&lt;0, CONCATENATE( DP79 ), CONCATENATE( " ", DP79 ) )</f>
        <v>-3</v>
      </c>
      <c r="DW79" s="194">
        <f xml:space="preserve"> SUM( DX$4:DX79, -DX79 )</f>
        <v>0</v>
      </c>
      <c r="DX79" s="194">
        <v>0</v>
      </c>
      <c r="DY79" s="194">
        <f xml:space="preserve"> SUM( DZ$4:DZ79, -DZ79 )</f>
        <v>13</v>
      </c>
      <c r="DZ79" s="194">
        <v>0</v>
      </c>
      <c r="EA79" s="194">
        <f xml:space="preserve"> SUM( EB$4:EB79, -EB79 )</f>
        <v>12</v>
      </c>
      <c r="EB79" s="194">
        <v>0</v>
      </c>
      <c r="EC79" s="194">
        <f xml:space="preserve"> SUM( ED$4:ED79, -ED79 )</f>
        <v>0</v>
      </c>
      <c r="ED79" s="194">
        <v>0</v>
      </c>
      <c r="EE79" s="194">
        <f xml:space="preserve"> SUM( EF$4:EF79, -EF79 )</f>
        <v>0</v>
      </c>
      <c r="EF79" s="194">
        <f t="shared" ref="EF79:EF86" si="318">K79</f>
        <v>0.5</v>
      </c>
      <c r="EG79" s="194">
        <f xml:space="preserve"> SUM( EH$4:EH79, -EH79 )</f>
        <v>0</v>
      </c>
      <c r="EH79" s="194">
        <v>0</v>
      </c>
      <c r="EI79" s="194">
        <f xml:space="preserve"> SUM( EJ$4:EJ79, -EJ79 )</f>
        <v>0</v>
      </c>
      <c r="EJ79" s="194">
        <v>0</v>
      </c>
      <c r="EK79" s="194">
        <f xml:space="preserve"> SUM( EL$4:EL79, -EL79 )</f>
        <v>0</v>
      </c>
      <c r="EL79" s="194">
        <v>0</v>
      </c>
      <c r="EM79" s="194">
        <f xml:space="preserve"> SUM( EN$4:EN79, -EN79 )</f>
        <v>0</v>
      </c>
      <c r="EN79" s="194">
        <v>0</v>
      </c>
      <c r="EO79" s="194">
        <f xml:space="preserve"> SUM( EP$4:EP79, -EP79 )</f>
        <v>0</v>
      </c>
      <c r="EP79" s="194">
        <v>0</v>
      </c>
      <c r="EQ79" s="194">
        <f xml:space="preserve"> SUM( ER$4:ER79, -ER79 )</f>
        <v>24</v>
      </c>
      <c r="ER79" s="194">
        <v>0</v>
      </c>
      <c r="ES79" s="194">
        <f xml:space="preserve"> SUM( ET$4:ET79, -ET79 )</f>
        <v>0</v>
      </c>
      <c r="ET79" s="194">
        <v>0</v>
      </c>
      <c r="EU79" s="194">
        <f xml:space="preserve"> SUM( EV$4:EV79, -EV79 )</f>
        <v>10</v>
      </c>
      <c r="EV79" s="194">
        <v>0</v>
      </c>
      <c r="EW79" s="194">
        <f xml:space="preserve"> SUM( EX$4:EX79, -EX79 )</f>
        <v>6</v>
      </c>
      <c r="EX79" s="194">
        <v>0</v>
      </c>
      <c r="EZ79" t="str">
        <f t="shared" si="312"/>
        <v>Med Console</v>
      </c>
      <c r="FB79" s="237">
        <f xml:space="preserve"> SUM( FC$4:FC79, -FC79 )</f>
        <v>4</v>
      </c>
      <c r="FC79" s="237">
        <v>0</v>
      </c>
      <c r="FD79" s="237">
        <f xml:space="preserve"> SUM( FE$4:FE79, -FE79 )</f>
        <v>1</v>
      </c>
      <c r="FE79" s="237">
        <v>0</v>
      </c>
      <c r="FF79" t="str">
        <f t="shared" si="288"/>
        <v>Med Console</v>
      </c>
    </row>
    <row r="80" spans="1:162">
      <c r="A80" s="55" t="s">
        <v>289</v>
      </c>
      <c r="C80" s="66"/>
      <c r="D80" s="66"/>
      <c r="E80" s="66"/>
      <c r="F80" s="66"/>
      <c r="G80" s="105">
        <f xml:space="preserve"> 1*(J81&gt;0)</f>
        <v>0</v>
      </c>
      <c r="H80" s="86"/>
      <c r="I80" s="4"/>
      <c r="J80" s="48">
        <f>G80</f>
        <v>0</v>
      </c>
      <c r="K80" s="80">
        <f>J80*1</f>
        <v>0</v>
      </c>
      <c r="L80" s="80">
        <f>J80*0.2</f>
        <v>0</v>
      </c>
      <c r="M80" s="48"/>
      <c r="N80" s="48"/>
      <c r="O80" s="48"/>
      <c r="P80" s="47"/>
      <c r="Q80" s="47"/>
      <c r="R80" s="106"/>
      <c r="S80" s="226"/>
      <c r="T80" t="str">
        <f t="shared" si="313"/>
        <v/>
      </c>
      <c r="U80" s="106"/>
      <c r="V80" s="106"/>
      <c r="W80" s="106"/>
      <c r="X80" s="106"/>
      <c r="Y80" s="156"/>
      <c r="Z80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</v>
      </c>
      <c r="AA80" s="160" t="str">
        <f t="shared" si="284"/>
        <v/>
      </c>
      <c r="AB80" s="161" t="str">
        <f t="shared" si="231"/>
        <v>Auto-counsellor</v>
      </c>
      <c r="AC80" s="160" t="str">
        <f t="shared" si="282"/>
        <v xml:space="preserve">                </v>
      </c>
      <c r="AD80" s="160" t="str">
        <f t="shared" si="289"/>
        <v xml:space="preserve">           </v>
      </c>
      <c r="AE80" s="162" t="str">
        <f t="shared" si="232"/>
        <v>0</v>
      </c>
      <c r="AF80" s="160" t="str">
        <f t="shared" si="290"/>
        <v xml:space="preserve">           </v>
      </c>
      <c r="AG80" s="161" t="str">
        <f t="shared" si="233"/>
        <v>0</v>
      </c>
      <c r="AH80" s="160" t="str">
        <f t="shared" si="53"/>
        <v xml:space="preserve">           </v>
      </c>
      <c r="AI80" s="163" t="str">
        <f t="shared" si="234"/>
        <v>0</v>
      </c>
      <c r="AJ80" s="160" t="str">
        <f t="shared" si="283"/>
        <v xml:space="preserve">      </v>
      </c>
      <c r="AK80" s="163" t="str">
        <f t="shared" si="287"/>
        <v/>
      </c>
      <c r="AL80" s="163"/>
      <c r="AM80" s="153"/>
      <c r="AN80" s="153"/>
      <c r="AO80" s="153"/>
      <c r="AP80" s="153"/>
      <c r="AR80" s="31"/>
      <c r="AS80">
        <v>0</v>
      </c>
      <c r="DL80">
        <f ca="1" xml:space="preserve"> IF( $AV80=Tables!$C$189, 5, RANDBETWEEN(1,6)+RANDBETWEEN(1,6)-2 )</f>
        <v>7</v>
      </c>
      <c r="DM80">
        <f ca="1" xml:space="preserve"> IF( $AV80=Tables!$C$189, 0, RANDBETWEEN(1,6)-RANDBETWEEN(1,6)+ VLOOKUP( $AS80, Tables!$A$184:$Q$193,  14 ) )</f>
        <v>-2</v>
      </c>
      <c r="DN80">
        <f ca="1" xml:space="preserve"> IF( $AV80=Tables!$C$189, 0, RANDBETWEEN(1,6)-RANDBETWEEN(1,6)+ VLOOKUP( $AS80, Tables!$A$184:$Q$193,  15 ) )</f>
        <v>2</v>
      </c>
      <c r="DO80">
        <f ca="1" xml:space="preserve"> IF( $AV80=Tables!$C$189, 0, RANDBETWEEN(1,6)-RANDBETWEEN(1,6)+ VLOOKUP( $AS80, Tables!$A$184:$Q$193,  16 ) )</f>
        <v>0</v>
      </c>
      <c r="DP80">
        <f ca="1" xml:space="preserve"> IF( $AV80=Tables!$C$189, 0, RANDBETWEEN(1,6)-RANDBETWEEN(1,6)+ VLOOKUP( $AS80, Tables!$A$184:$Q$193,  17 ) )</f>
        <v>0</v>
      </c>
      <c r="DQ80" s="44" t="str">
        <f ca="1" xml:space="preserve"> VLOOKUP( $DL80,Tables!$B$2:$C$36,2)</f>
        <v>7</v>
      </c>
      <c r="DR80" t="str">
        <f t="shared" ca="1" si="314"/>
        <v>-2</v>
      </c>
      <c r="DS80" t="str">
        <f t="shared" ca="1" si="315"/>
        <v xml:space="preserve"> 2</v>
      </c>
      <c r="DT80" t="str">
        <f t="shared" ca="1" si="316"/>
        <v xml:space="preserve"> 0</v>
      </c>
      <c r="DU80" t="str">
        <f t="shared" ca="1" si="317"/>
        <v xml:space="preserve"> 0</v>
      </c>
      <c r="DW80" s="194">
        <f xml:space="preserve"> SUM( DX$4:DX80, -DX80 )</f>
        <v>0</v>
      </c>
      <c r="DX80" s="194">
        <v>0</v>
      </c>
      <c r="DY80" s="194">
        <f xml:space="preserve"> SUM( DZ$4:DZ80, -DZ80 )</f>
        <v>13</v>
      </c>
      <c r="DZ80" s="194">
        <v>0</v>
      </c>
      <c r="EA80" s="194">
        <f xml:space="preserve"> SUM( EB$4:EB80, -EB80 )</f>
        <v>12</v>
      </c>
      <c r="EB80" s="194">
        <v>0</v>
      </c>
      <c r="EC80" s="194">
        <f xml:space="preserve"> SUM( ED$4:ED80, -ED80 )</f>
        <v>0</v>
      </c>
      <c r="ED80" s="194">
        <v>0</v>
      </c>
      <c r="EE80" s="194">
        <f xml:space="preserve"> SUM( EF$4:EF80, -EF80 )</f>
        <v>0.5</v>
      </c>
      <c r="EF80" s="194">
        <f t="shared" si="318"/>
        <v>0</v>
      </c>
      <c r="EG80" s="194">
        <f xml:space="preserve"> SUM( EH$4:EH80, -EH80 )</f>
        <v>0</v>
      </c>
      <c r="EH80" s="194">
        <v>0</v>
      </c>
      <c r="EI80" s="194">
        <f xml:space="preserve"> SUM( EJ$4:EJ80, -EJ80 )</f>
        <v>0</v>
      </c>
      <c r="EJ80" s="194">
        <v>0</v>
      </c>
      <c r="EK80" s="194">
        <f xml:space="preserve"> SUM( EL$4:EL80, -EL80 )</f>
        <v>0</v>
      </c>
      <c r="EL80" s="194">
        <v>0</v>
      </c>
      <c r="EM80" s="194">
        <f xml:space="preserve"> SUM( EN$4:EN80, -EN80 )</f>
        <v>0</v>
      </c>
      <c r="EN80" s="194">
        <v>0</v>
      </c>
      <c r="EO80" s="194">
        <f xml:space="preserve"> SUM( EP$4:EP80, -EP80 )</f>
        <v>0</v>
      </c>
      <c r="EP80" s="194">
        <v>0</v>
      </c>
      <c r="EQ80" s="194">
        <f xml:space="preserve"> SUM( ER$4:ER80, -ER80 )</f>
        <v>24</v>
      </c>
      <c r="ER80" s="194">
        <v>0</v>
      </c>
      <c r="ES80" s="194">
        <f xml:space="preserve"> SUM( ET$4:ET80, -ET80 )</f>
        <v>0</v>
      </c>
      <c r="ET80" s="194">
        <v>0</v>
      </c>
      <c r="EU80" s="194">
        <f xml:space="preserve"> SUM( EV$4:EV80, -EV80 )</f>
        <v>10</v>
      </c>
      <c r="EV80" s="194">
        <v>0</v>
      </c>
      <c r="EW80" s="194">
        <f xml:space="preserve"> SUM( EX$4:EX80, -EX80 )</f>
        <v>6</v>
      </c>
      <c r="EX80" s="194">
        <v>0</v>
      </c>
      <c r="EZ80" t="str">
        <f t="shared" si="312"/>
        <v>Auto-counsellor</v>
      </c>
      <c r="FB80" s="237">
        <f xml:space="preserve"> SUM( FC$4:FC80, -FC80 )</f>
        <v>4</v>
      </c>
      <c r="FC80" s="237">
        <v>0</v>
      </c>
      <c r="FD80" s="237">
        <f xml:space="preserve"> SUM( FE$4:FE80, -FE80 )</f>
        <v>1</v>
      </c>
      <c r="FE80" s="237">
        <v>0</v>
      </c>
      <c r="FF80" t="str">
        <f t="shared" si="288"/>
        <v>Auto-counsellor</v>
      </c>
    </row>
    <row r="81" spans="1:162">
      <c r="A81" s="55" t="s">
        <v>815</v>
      </c>
      <c r="C81" s="15"/>
      <c r="D81" s="15"/>
      <c r="E81" s="66"/>
      <c r="F81" s="66"/>
      <c r="G81" s="20">
        <f xml:space="preserve"> ROUND( H136/3, 0 )</f>
        <v>0</v>
      </c>
      <c r="H81" s="28"/>
      <c r="I81" s="4"/>
      <c r="J81" s="48">
        <f xml:space="preserve"> MAX( 0, ROUNDUP( G81, 0 ) )</f>
        <v>0</v>
      </c>
      <c r="K81" s="51">
        <f>J81*2</f>
        <v>0</v>
      </c>
      <c r="L81" s="51">
        <f>J81*1</f>
        <v>0</v>
      </c>
      <c r="M81" s="48"/>
      <c r="N81" s="48"/>
      <c r="O81" s="48"/>
      <c r="P81" s="47"/>
      <c r="Q81" s="47"/>
      <c r="R81" s="106"/>
      <c r="S81" s="226"/>
      <c r="T81" t="str">
        <f t="shared" si="313"/>
        <v/>
      </c>
      <c r="U81" s="106"/>
      <c r="V81" s="106"/>
      <c r="W81" s="106"/>
      <c r="X81" s="106"/>
      <c r="Y81" s="156"/>
      <c r="Z81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</v>
      </c>
      <c r="AA81" s="160" t="str">
        <f t="shared" si="284"/>
        <v/>
      </c>
      <c r="AB81" s="161" t="str">
        <f t="shared" si="231"/>
        <v>Clinic</v>
      </c>
      <c r="AC81" s="160" t="str">
        <f t="shared" si="282"/>
        <v xml:space="preserve">                         </v>
      </c>
      <c r="AD81" s="160" t="str">
        <f t="shared" si="289"/>
        <v xml:space="preserve">           </v>
      </c>
      <c r="AE81" s="162" t="str">
        <f t="shared" si="232"/>
        <v>0</v>
      </c>
      <c r="AF81" s="160" t="str">
        <f t="shared" si="290"/>
        <v xml:space="preserve">           </v>
      </c>
      <c r="AG81" s="161" t="str">
        <f t="shared" si="233"/>
        <v>0</v>
      </c>
      <c r="AH81" s="160" t="str">
        <f t="shared" si="53"/>
        <v xml:space="preserve">           </v>
      </c>
      <c r="AI81" s="163" t="str">
        <f t="shared" si="234"/>
        <v>0</v>
      </c>
      <c r="AJ81" s="160" t="str">
        <f t="shared" si="283"/>
        <v xml:space="preserve">      </v>
      </c>
      <c r="AK81" s="163" t="str">
        <f t="shared" si="287"/>
        <v/>
      </c>
      <c r="AL81" s="163"/>
      <c r="AM81" s="153"/>
      <c r="AN81" s="153"/>
      <c r="AO81" s="153"/>
      <c r="AP81" s="153"/>
      <c r="AR81" s="31"/>
      <c r="AS81">
        <v>0</v>
      </c>
      <c r="CM81" t="s">
        <v>999</v>
      </c>
      <c r="DL81">
        <f ca="1" xml:space="preserve"> IF( $AV81=Tables!$C$189, 5, RANDBETWEEN(1,6)+RANDBETWEEN(1,6)-2 )</f>
        <v>4</v>
      </c>
      <c r="DM81">
        <f ca="1" xml:space="preserve"> IF( $AV81=Tables!$C$189, 0, RANDBETWEEN(1,6)-RANDBETWEEN(1,6)+ VLOOKUP( $AS81, Tables!$A$184:$Q$193,  14 ) )</f>
        <v>-3</v>
      </c>
      <c r="DN81">
        <f ca="1" xml:space="preserve"> IF( $AV81=Tables!$C$189, 0, RANDBETWEEN(1,6)-RANDBETWEEN(1,6)+ VLOOKUP( $AS81, Tables!$A$184:$Q$193,  15 ) )</f>
        <v>5</v>
      </c>
      <c r="DO81">
        <f ca="1" xml:space="preserve"> IF( $AV81=Tables!$C$189, 0, RANDBETWEEN(1,6)-RANDBETWEEN(1,6)+ VLOOKUP( $AS81, Tables!$A$184:$Q$193,  16 ) )</f>
        <v>2</v>
      </c>
      <c r="DP81">
        <f ca="1" xml:space="preserve"> IF( $AV81=Tables!$C$189, 0, RANDBETWEEN(1,6)-RANDBETWEEN(1,6)+ VLOOKUP( $AS81, Tables!$A$184:$Q$193,  17 ) )</f>
        <v>1</v>
      </c>
      <c r="DQ81" s="44" t="str">
        <f ca="1" xml:space="preserve"> VLOOKUP( $DL81,Tables!$B$2:$C$36,2)</f>
        <v>4</v>
      </c>
      <c r="DR81" t="str">
        <f t="shared" ca="1" si="314"/>
        <v>-3</v>
      </c>
      <c r="DS81" t="str">
        <f t="shared" ca="1" si="315"/>
        <v xml:space="preserve"> 5</v>
      </c>
      <c r="DT81" t="str">
        <f t="shared" ca="1" si="316"/>
        <v xml:space="preserve"> 2</v>
      </c>
      <c r="DU81" t="str">
        <f t="shared" ca="1" si="317"/>
        <v xml:space="preserve"> 1</v>
      </c>
      <c r="DW81" s="194">
        <f xml:space="preserve"> SUM( DX$4:DX81, -DX81 )</f>
        <v>0</v>
      </c>
      <c r="DX81" s="194">
        <v>0</v>
      </c>
      <c r="DY81" s="194">
        <f xml:space="preserve"> SUM( DZ$4:DZ81, -DZ81 )</f>
        <v>13</v>
      </c>
      <c r="DZ81" s="194">
        <v>0</v>
      </c>
      <c r="EA81" s="194">
        <f xml:space="preserve"> SUM( EB$4:EB81, -EB81 )</f>
        <v>12</v>
      </c>
      <c r="EB81" s="194">
        <v>0</v>
      </c>
      <c r="EC81" s="194">
        <f xml:space="preserve"> SUM( ED$4:ED81, -ED81 )</f>
        <v>0</v>
      </c>
      <c r="ED81" s="194">
        <v>0</v>
      </c>
      <c r="EE81" s="194">
        <f xml:space="preserve"> SUM( EF$4:EF81, -EF81 )</f>
        <v>0.5</v>
      </c>
      <c r="EF81" s="194">
        <f t="shared" si="318"/>
        <v>0</v>
      </c>
      <c r="EG81" s="194">
        <f xml:space="preserve"> SUM( EH$4:EH81, -EH81 )</f>
        <v>0</v>
      </c>
      <c r="EH81" s="194">
        <v>0</v>
      </c>
      <c r="EI81" s="194">
        <f xml:space="preserve"> SUM( EJ$4:EJ81, -EJ81 )</f>
        <v>0</v>
      </c>
      <c r="EJ81" s="194">
        <v>0</v>
      </c>
      <c r="EK81" s="194">
        <f xml:space="preserve"> SUM( EL$4:EL81, -EL81 )</f>
        <v>0</v>
      </c>
      <c r="EL81" s="194">
        <v>0</v>
      </c>
      <c r="EM81" s="194">
        <f xml:space="preserve"> SUM( EN$4:EN81, -EN81 )</f>
        <v>0</v>
      </c>
      <c r="EN81" s="194">
        <v>0</v>
      </c>
      <c r="EO81" s="194">
        <f xml:space="preserve"> SUM( EP$4:EP81, -EP81 )</f>
        <v>0</v>
      </c>
      <c r="EP81" s="194">
        <v>0</v>
      </c>
      <c r="EQ81" s="194">
        <f xml:space="preserve"> SUM( ER$4:ER81, -ER81 )</f>
        <v>24</v>
      </c>
      <c r="ER81" s="194">
        <v>0</v>
      </c>
      <c r="ES81" s="194">
        <f xml:space="preserve"> SUM( ET$4:ET81, -ET81 )</f>
        <v>0</v>
      </c>
      <c r="ET81" s="194">
        <v>0</v>
      </c>
      <c r="EU81" s="194">
        <f xml:space="preserve"> SUM( EV$4:EV81, -EV81 )</f>
        <v>10</v>
      </c>
      <c r="EV81" s="194">
        <v>0</v>
      </c>
      <c r="EW81" s="194">
        <f xml:space="preserve"> SUM( EX$4:EX81, -EX81 )</f>
        <v>6</v>
      </c>
      <c r="EX81" s="194">
        <v>0</v>
      </c>
      <c r="EZ81" t="str">
        <f t="shared" si="312"/>
        <v>Clinic</v>
      </c>
      <c r="FB81" s="237">
        <f xml:space="preserve"> SUM( FC$4:FC81, -FC81 )</f>
        <v>4</v>
      </c>
      <c r="FC81" s="237">
        <v>0</v>
      </c>
      <c r="FD81" s="237">
        <f xml:space="preserve"> SUM( FE$4:FE81, -FE81 )</f>
        <v>1</v>
      </c>
      <c r="FE81" s="237">
        <v>0</v>
      </c>
      <c r="FF81" t="str">
        <f t="shared" si="288"/>
        <v>Clinic</v>
      </c>
    </row>
    <row r="82" spans="1:162">
      <c r="A82" s="55" t="s">
        <v>10</v>
      </c>
      <c r="B82" s="149"/>
      <c r="C82" s="66"/>
      <c r="D82" s="66"/>
      <c r="E82" s="66"/>
      <c r="F82" s="66"/>
      <c r="G82" s="105">
        <v>0</v>
      </c>
      <c r="H82" s="86"/>
      <c r="I82" s="4"/>
      <c r="J82" s="191">
        <f>G82</f>
        <v>0</v>
      </c>
      <c r="K82" s="194">
        <f>J82 * 1</f>
        <v>0</v>
      </c>
      <c r="L82" s="194">
        <f>J82 * 0.5</f>
        <v>0</v>
      </c>
      <c r="M82" s="191"/>
      <c r="N82" s="191"/>
      <c r="O82" s="191"/>
      <c r="P82" s="106"/>
      <c r="Q82" s="106"/>
      <c r="R82" s="106"/>
      <c r="S82" s="226"/>
      <c r="T82" t="str">
        <f t="shared" si="313"/>
        <v/>
      </c>
      <c r="U82" s="106"/>
      <c r="V82" s="106"/>
      <c r="W82" s="106"/>
      <c r="X82" s="106"/>
      <c r="Y82" s="156"/>
      <c r="Z82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</v>
      </c>
      <c r="AA82" s="160" t="str">
        <f t="shared" si="284"/>
        <v/>
      </c>
      <c r="AB82" s="161" t="str">
        <f xml:space="preserve"> CONCATENATE( LEFT(A82,30) )</f>
        <v>Medical/Emergency Low Berth</v>
      </c>
      <c r="AC82" s="160" t="str">
        <f t="shared" si="282"/>
        <v xml:space="preserve">    </v>
      </c>
      <c r="AD82" s="160" t="str">
        <f t="shared" ref="AD82" si="319" xml:space="preserve"> CONCATENATE( REPT(" ",MAX(0,12-LEN(AE82))) )</f>
        <v xml:space="preserve">           </v>
      </c>
      <c r="AE82" s="162" t="str">
        <f t="shared" ref="AE82" si="320" xml:space="preserve"> CONCATENATE( J82 )</f>
        <v>0</v>
      </c>
      <c r="AF82" s="160" t="str">
        <f t="shared" ref="AF82" si="321" xml:space="preserve"> CONCATENATE( REPT(" ",MAX(0,12-LEN(AG82))) )</f>
        <v xml:space="preserve">           </v>
      </c>
      <c r="AG82" s="161" t="str">
        <f t="shared" ref="AG82" si="322" xml:space="preserve"> CONCATENATE( K82 )</f>
        <v>0</v>
      </c>
      <c r="AH82" s="160" t="str">
        <f t="shared" ref="AH82" si="323" xml:space="preserve"> CONCATENATE( REPT(" ",MAX(0,12-LEN(AI82))) )</f>
        <v xml:space="preserve">           </v>
      </c>
      <c r="AI82" s="163" t="str">
        <f t="shared" ref="AI82" si="324" xml:space="preserve"> CONCATENATE( L82 )</f>
        <v>0</v>
      </c>
      <c r="AJ82" s="160" t="str">
        <f t="shared" si="283"/>
        <v xml:space="preserve">      </v>
      </c>
      <c r="AK82" s="163" t="str">
        <f t="shared" si="287"/>
        <v/>
      </c>
      <c r="AL82" s="163"/>
      <c r="AM82" s="153"/>
      <c r="AN82" s="153"/>
      <c r="AO82" s="153"/>
      <c r="AP82" s="153"/>
      <c r="AR82" s="85"/>
      <c r="DL82">
        <f ca="1" xml:space="preserve"> IF( $AV82=Tables!$C$189, 5, RANDBETWEEN(1,6)+RANDBETWEEN(1,6)-2 )</f>
        <v>6</v>
      </c>
      <c r="DM82">
        <f ca="1" xml:space="preserve"> IF( $AV82=Tables!$C$189, 0, RANDBETWEEN(1,6)-RANDBETWEEN(1,6)+ VLOOKUP( $AS82, Tables!$A$184:$Q$193,  14 ) )</f>
        <v>0</v>
      </c>
      <c r="DN82">
        <f ca="1" xml:space="preserve"> IF( $AV82=Tables!$C$189, 0, RANDBETWEEN(1,6)-RANDBETWEEN(1,6)+ VLOOKUP( $AS82, Tables!$A$184:$Q$193,  15 ) )</f>
        <v>4</v>
      </c>
      <c r="DO82">
        <f ca="1" xml:space="preserve"> IF( $AV82=Tables!$C$189, 0, RANDBETWEEN(1,6)-RANDBETWEEN(1,6)+ VLOOKUP( $AS82, Tables!$A$184:$Q$193,  16 ) )</f>
        <v>1</v>
      </c>
      <c r="DP82">
        <f ca="1" xml:space="preserve"> IF( $AV82=Tables!$C$189, 0, RANDBETWEEN(1,6)-RANDBETWEEN(1,6)+ VLOOKUP( $AS82, Tables!$A$184:$Q$193,  17 ) )</f>
        <v>-2</v>
      </c>
      <c r="DQ82" s="44" t="str">
        <f ca="1" xml:space="preserve"> VLOOKUP( $DL82,Tables!$B$2:$C$36,2)</f>
        <v>6</v>
      </c>
      <c r="DR82" t="str">
        <f t="shared" ca="1" si="314"/>
        <v xml:space="preserve"> 0</v>
      </c>
      <c r="DS82" t="str">
        <f t="shared" ca="1" si="315"/>
        <v xml:space="preserve"> 4</v>
      </c>
      <c r="DT82" t="str">
        <f t="shared" ca="1" si="316"/>
        <v xml:space="preserve"> 1</v>
      </c>
      <c r="DU82" t="str">
        <f t="shared" ca="1" si="317"/>
        <v>-2</v>
      </c>
      <c r="DW82" s="194">
        <f xml:space="preserve"> SUM( DX$4:DX82, -DX82 )</f>
        <v>0</v>
      </c>
      <c r="DX82" s="194">
        <v>0</v>
      </c>
      <c r="DY82" s="194">
        <f xml:space="preserve"> SUM( DZ$4:DZ82, -DZ82 )</f>
        <v>13</v>
      </c>
      <c r="DZ82" s="194">
        <v>0</v>
      </c>
      <c r="EA82" s="194">
        <f xml:space="preserve"> SUM( EB$4:EB82, -EB82 )</f>
        <v>12</v>
      </c>
      <c r="EB82" s="194">
        <v>0</v>
      </c>
      <c r="EC82" s="194">
        <f xml:space="preserve"> SUM( ED$4:ED82, -ED82 )</f>
        <v>0</v>
      </c>
      <c r="ED82" s="194">
        <v>0</v>
      </c>
      <c r="EE82" s="194">
        <f xml:space="preserve"> SUM( EF$4:EF82, -EF82 )</f>
        <v>0.5</v>
      </c>
      <c r="EF82" s="194">
        <f t="shared" si="318"/>
        <v>0</v>
      </c>
      <c r="EG82" s="194">
        <f xml:space="preserve"> SUM( EH$4:EH82, -EH82 )</f>
        <v>0</v>
      </c>
      <c r="EH82" s="194">
        <v>0</v>
      </c>
      <c r="EI82" s="194">
        <f xml:space="preserve"> SUM( EJ$4:EJ82, -EJ82 )</f>
        <v>0</v>
      </c>
      <c r="EJ82" s="194">
        <v>0</v>
      </c>
      <c r="EK82" s="194">
        <f xml:space="preserve"> SUM( EL$4:EL82, -EL82 )</f>
        <v>0</v>
      </c>
      <c r="EL82" s="194">
        <v>0</v>
      </c>
      <c r="EM82" s="194">
        <f xml:space="preserve"> SUM( EN$4:EN82, -EN82 )</f>
        <v>0</v>
      </c>
      <c r="EN82" s="194">
        <v>0</v>
      </c>
      <c r="EO82" s="194">
        <f xml:space="preserve"> SUM( EP$4:EP82, -EP82 )</f>
        <v>0</v>
      </c>
      <c r="EP82" s="194">
        <v>0</v>
      </c>
      <c r="EQ82" s="194">
        <f xml:space="preserve"> SUM( ER$4:ER82, -ER82 )</f>
        <v>24</v>
      </c>
      <c r="ER82" s="194">
        <v>0</v>
      </c>
      <c r="ES82" s="194">
        <f xml:space="preserve"> SUM( ET$4:ET82, -ET82 )</f>
        <v>0</v>
      </c>
      <c r="ET82" s="194">
        <v>0</v>
      </c>
      <c r="EU82" s="194">
        <f xml:space="preserve"> SUM( EV$4:EV82, -EV82 )</f>
        <v>10</v>
      </c>
      <c r="EV82" s="194">
        <v>0</v>
      </c>
      <c r="EW82" s="194">
        <f xml:space="preserve"> SUM( EX$4:EX82, -EX82 )</f>
        <v>6</v>
      </c>
      <c r="EX82" s="194">
        <v>0</v>
      </c>
      <c r="EZ82" t="str">
        <f t="shared" ref="EZ82" si="325">A82</f>
        <v>Medical/Emergency Low Berth</v>
      </c>
      <c r="FB82" s="237">
        <f xml:space="preserve"> SUM( FC$4:FC82, -FC82 )</f>
        <v>4</v>
      </c>
      <c r="FC82" s="237">
        <v>0</v>
      </c>
      <c r="FD82" s="237">
        <f xml:space="preserve"> SUM( FE$4:FE82, -FE82 )</f>
        <v>1</v>
      </c>
      <c r="FE82" s="237">
        <v>0</v>
      </c>
      <c r="FF82" t="str">
        <f t="shared" si="288"/>
        <v>Medical/Emergency Low Berth</v>
      </c>
    </row>
    <row r="83" spans="1:162">
      <c r="A83" t="s">
        <v>330</v>
      </c>
      <c r="C83" s="15" t="s">
        <v>603</v>
      </c>
      <c r="D83" s="251">
        <v>0</v>
      </c>
      <c r="E83" s="66"/>
      <c r="F83" s="66"/>
      <c r="G83" s="11">
        <v>1</v>
      </c>
      <c r="H83" s="28"/>
      <c r="I83" s="4">
        <f xml:space="preserve"> ROUNDUP( G83 * SUM(J62,J68), 0 )</f>
        <v>0</v>
      </c>
      <c r="J83" s="21">
        <f xml:space="preserve"> ROUNDUP( G83 * SUM(J62,J68), 1 )</f>
        <v>0</v>
      </c>
      <c r="K83" s="80">
        <f xml:space="preserve"> J83  * ( 1 + 3*(D83&gt;0) )</f>
        <v>0</v>
      </c>
      <c r="L83" s="80">
        <f xml:space="preserve"> K83</f>
        <v>0</v>
      </c>
      <c r="M83" s="21"/>
      <c r="N83" s="48"/>
      <c r="O83" s="21"/>
      <c r="P83" s="34"/>
      <c r="Q83" s="36">
        <f xml:space="preserve"> K83 *30</f>
        <v>0</v>
      </c>
      <c r="R83" s="106" t="str">
        <f xml:space="preserve"> IF( Q83&gt;0, " person-days", "" )</f>
        <v/>
      </c>
      <c r="S83" s="226"/>
      <c r="T83" t="str">
        <f t="shared" si="313"/>
        <v/>
      </c>
      <c r="U83" s="106"/>
      <c r="V83" s="106"/>
      <c r="W83" s="106"/>
      <c r="X83" s="106"/>
      <c r="Y83" s="156"/>
      <c r="Z83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</v>
      </c>
      <c r="AA83" s="160" t="str">
        <f xml:space="preserve"> IF( OR(J83&lt;&gt;0,K83&lt;&gt;0,L83&lt;&gt;0), CONCATENATE( newline &amp; AB83 &amp; AC83 &amp; AD83 &amp; AE83 &amp; AF83 &amp; AG83 &amp; AH83 &amp; AI83 &amp; AJ83 &amp; AK83 &amp; "  " &amp; AM83 ), "" )</f>
        <v/>
      </c>
      <c r="AB83" s="161" t="str">
        <f xml:space="preserve"> CONCATENATE( A83 &amp; ", " &amp; C83 &amp; " " &amp; G83*100 &amp; "%" )</f>
        <v>Life Support, Luxury 100%</v>
      </c>
      <c r="AC83" s="160" t="str">
        <f t="shared" si="282"/>
        <v xml:space="preserve">      </v>
      </c>
      <c r="AD83" s="160" t="str">
        <f t="shared" si="289"/>
        <v xml:space="preserve">           </v>
      </c>
      <c r="AE83" s="162" t="str">
        <f t="shared" si="232"/>
        <v>0</v>
      </c>
      <c r="AF83" s="160" t="str">
        <f t="shared" si="290"/>
        <v xml:space="preserve">           </v>
      </c>
      <c r="AG83" s="161" t="str">
        <f t="shared" si="233"/>
        <v>0</v>
      </c>
      <c r="AH83" s="160" t="str">
        <f t="shared" si="53"/>
        <v xml:space="preserve">           </v>
      </c>
      <c r="AI83" s="163" t="str">
        <f t="shared" si="234"/>
        <v>0</v>
      </c>
      <c r="AJ83" s="160" t="str">
        <f t="shared" si="283"/>
        <v xml:space="preserve">      </v>
      </c>
      <c r="AK83" s="163" t="str">
        <f t="shared" si="287"/>
        <v/>
      </c>
      <c r="AL83" s="163"/>
      <c r="AM83" s="153" t="str">
        <f xml:space="preserve"> CONCATENATE( REPT( " ", IFERROR( ROUNDDOWN( LOG( MAX($Q$83:$Q$86), 10 ), 0 ), 0 ) - IFERROR( ROUNDDOWN( LOG( Q83, 10 ), 0 ), 0 )) &amp; Q83 &amp; R83 )</f>
        <v xml:space="preserve">  0</v>
      </c>
      <c r="AN83" s="153"/>
      <c r="AO83" s="153">
        <f xml:space="preserve"> (J83&gt;0) * ROUNDUP( K83/35, 0 )</f>
        <v>0</v>
      </c>
      <c r="AP83" s="153"/>
      <c r="AR83" s="31"/>
      <c r="AS83">
        <v>0</v>
      </c>
      <c r="CM83" t="s">
        <v>150</v>
      </c>
      <c r="DL83">
        <f ca="1" xml:space="preserve"> IF( $AV83=Tables!$C$189, 5, RANDBETWEEN(1,6)+RANDBETWEEN(1,6)-2 )</f>
        <v>7</v>
      </c>
      <c r="DM83">
        <f ca="1" xml:space="preserve"> IF( $AV83=Tables!$C$189, 0, RANDBETWEEN(1,6)-RANDBETWEEN(1,6)+ VLOOKUP( $AS83, Tables!$A$184:$Q$193,  14 ) )</f>
        <v>1</v>
      </c>
      <c r="DN83">
        <f ca="1" xml:space="preserve"> IF( $AV83=Tables!$C$189, 0, RANDBETWEEN(1,6)-RANDBETWEEN(1,6)+ VLOOKUP( $AS83, Tables!$A$184:$Q$193,  15 ) )</f>
        <v>-1</v>
      </c>
      <c r="DO83">
        <f ca="1" xml:space="preserve"> IF( $AV83=Tables!$C$189, 0, RANDBETWEEN(1,6)-RANDBETWEEN(1,6)+ VLOOKUP( $AS83, Tables!$A$184:$Q$193,  16 ) )</f>
        <v>3</v>
      </c>
      <c r="DP83">
        <f ca="1" xml:space="preserve"> IF( $AV83=Tables!$C$189, 0, RANDBETWEEN(1,6)-RANDBETWEEN(1,6)+ VLOOKUP( $AS83, Tables!$A$184:$Q$193,  17 ) )</f>
        <v>-2</v>
      </c>
      <c r="DQ83" s="44" t="str">
        <f ca="1" xml:space="preserve"> VLOOKUP( $DL83,Tables!$B$2:$C$36,2)</f>
        <v>7</v>
      </c>
      <c r="DR83" t="str">
        <f t="shared" ca="1" si="314"/>
        <v xml:space="preserve"> 1</v>
      </c>
      <c r="DS83" t="str">
        <f t="shared" ca="1" si="315"/>
        <v>-1</v>
      </c>
      <c r="DT83" t="str">
        <f t="shared" ca="1" si="316"/>
        <v xml:space="preserve"> 3</v>
      </c>
      <c r="DU83" t="str">
        <f t="shared" ca="1" si="317"/>
        <v>-2</v>
      </c>
      <c r="DW83" s="194">
        <f xml:space="preserve"> SUM( DX$4:DX83, -DX83 )</f>
        <v>0</v>
      </c>
      <c r="DX83" s="194">
        <v>0</v>
      </c>
      <c r="DY83" s="194">
        <f xml:space="preserve"> SUM( DZ$4:DZ83, -DZ83 )</f>
        <v>13</v>
      </c>
      <c r="DZ83" s="194">
        <v>0</v>
      </c>
      <c r="EA83" s="194">
        <f xml:space="preserve"> SUM( EB$4:EB83, -EB83 )</f>
        <v>12</v>
      </c>
      <c r="EB83" s="194">
        <v>0</v>
      </c>
      <c r="EC83" s="194">
        <f xml:space="preserve"> SUM( ED$4:ED83, -ED83 )</f>
        <v>0</v>
      </c>
      <c r="ED83" s="194">
        <v>0</v>
      </c>
      <c r="EE83" s="194">
        <f xml:space="preserve"> SUM( EF$4:EF83, -EF83 )</f>
        <v>0.5</v>
      </c>
      <c r="EF83" s="194">
        <f t="shared" si="318"/>
        <v>0</v>
      </c>
      <c r="EG83" s="194">
        <f xml:space="preserve"> SUM( EH$4:EH83, -EH83 )</f>
        <v>0</v>
      </c>
      <c r="EH83" s="194">
        <v>0</v>
      </c>
      <c r="EI83" s="194">
        <f xml:space="preserve"> SUM( EJ$4:EJ83, -EJ83 )</f>
        <v>0</v>
      </c>
      <c r="EJ83" s="194">
        <v>0</v>
      </c>
      <c r="EK83" s="194">
        <f xml:space="preserve"> SUM( EL$4:EL83, -EL83 )</f>
        <v>0</v>
      </c>
      <c r="EL83" s="194">
        <v>0</v>
      </c>
      <c r="EM83" s="194">
        <f xml:space="preserve"> SUM( EN$4:EN83, -EN83 )</f>
        <v>0</v>
      </c>
      <c r="EN83" s="194">
        <v>0</v>
      </c>
      <c r="EO83" s="194">
        <f xml:space="preserve"> SUM( EP$4:EP83, -EP83 )</f>
        <v>0</v>
      </c>
      <c r="EP83" s="194">
        <v>0</v>
      </c>
      <c r="EQ83" s="194">
        <f xml:space="preserve"> SUM( ER$4:ER83, -ER83 )</f>
        <v>24</v>
      </c>
      <c r="ER83" s="194">
        <v>0</v>
      </c>
      <c r="ES83" s="194">
        <f xml:space="preserve"> SUM( ET$4:ET83, -ET83 )</f>
        <v>0</v>
      </c>
      <c r="ET83" s="194">
        <v>0</v>
      </c>
      <c r="EU83" s="194">
        <f xml:space="preserve"> SUM( EV$4:EV83, -EV83 )</f>
        <v>10</v>
      </c>
      <c r="EV83" s="194">
        <v>0</v>
      </c>
      <c r="EW83" s="194">
        <f xml:space="preserve"> SUM( EX$4:EX83, -EX83 )</f>
        <v>6</v>
      </c>
      <c r="EX83" s="194">
        <v>0</v>
      </c>
      <c r="EZ83" t="str">
        <f t="shared" si="312"/>
        <v>Life Support</v>
      </c>
      <c r="FB83" s="237">
        <f xml:space="preserve"> SUM( FC$4:FC83, -FC83 )</f>
        <v>4</v>
      </c>
      <c r="FC83" s="237">
        <v>0</v>
      </c>
      <c r="FD83" s="237">
        <f xml:space="preserve"> SUM( FE$4:FE83, -FE83 )</f>
        <v>1</v>
      </c>
      <c r="FE83" s="237">
        <v>0</v>
      </c>
      <c r="FF83" t="str">
        <f t="shared" si="288"/>
        <v>Life Support</v>
      </c>
    </row>
    <row r="84" spans="1:162">
      <c r="A84" t="s">
        <v>635</v>
      </c>
      <c r="C84" s="15" t="str">
        <f xml:space="preserve"> IF( LongTermLS&gt;0, "Long Term", "Standard" )</f>
        <v>Standard</v>
      </c>
      <c r="D84" s="252">
        <f xml:space="preserve"> 1*(Military&gt;0)</f>
        <v>0</v>
      </c>
      <c r="E84" s="66"/>
      <c r="F84" s="66"/>
      <c r="G84" s="11">
        <v>2</v>
      </c>
      <c r="H84" s="28"/>
      <c r="I84" s="4">
        <f xml:space="preserve"> ROUNDUP( G84 * SUM(I63,-G62,J69,J73,AV76), 0 )</f>
        <v>6</v>
      </c>
      <c r="J84" s="48">
        <f xml:space="preserve"> ROUNDUP( MAX(0,1-G85) * I84 / 10, 2 )</f>
        <v>0.6</v>
      </c>
      <c r="K84" s="51">
        <f xml:space="preserve"> J84 * ( 1 + 1*(LongTermLS&gt;0) )</f>
        <v>0.6</v>
      </c>
      <c r="L84" s="51">
        <f xml:space="preserve"> K84</f>
        <v>0.6</v>
      </c>
      <c r="M84" s="48"/>
      <c r="N84" s="48"/>
      <c r="O84" s="48"/>
      <c r="P84" s="47"/>
      <c r="Q84" s="47">
        <f>K84 * IF( LongTermLS&gt;0, 1200/2, 300 )</f>
        <v>180</v>
      </c>
      <c r="R84" s="106" t="str">
        <f t="shared" ref="R84:R85" si="326" xml:space="preserve"> IF( Q84&gt;0, " person-days", "" )</f>
        <v xml:space="preserve"> person-days</v>
      </c>
      <c r="S84" s="226"/>
      <c r="T84" t="str">
        <f t="shared" ca="1" si="313"/>
        <v>4 1 1-4-2</v>
      </c>
      <c r="U84" s="106"/>
      <c r="V84" s="106"/>
      <c r="W84" s="106"/>
      <c r="X84" s="106"/>
      <c r="Y84" s="156"/>
      <c r="Z84" s="160" t="str">
        <f t="shared" si="281"/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</v>
      </c>
      <c r="AA84" s="160" t="str">
        <f xml:space="preserve"> IF( OR(J84&lt;&gt;0,K84&lt;&gt;0,L84&lt;&gt;0), CONCATENATE( newline &amp; AB84 &amp; AC84 &amp; AD84 &amp; AE84 &amp; AF84 &amp; AG84 &amp; AH84 &amp; AI84 &amp; AJ84 &amp; AK84 &amp; "  " &amp; AM84 ), "" )</f>
        <v xml:space="preserve">
Life Support, Standard 200%             0,6         0,6         0,6        180 person-days</v>
      </c>
      <c r="AB84" s="161" t="str">
        <f xml:space="preserve"> CONCATENATE( A84 &amp; ", " &amp; IF( LongTermLS&gt;0, "Long term", C84) &amp; " " &amp; G84*100 &amp; "%" )</f>
        <v>Life Support, Standard 200%</v>
      </c>
      <c r="AC84" s="160" t="str">
        <f t="shared" si="282"/>
        <v xml:space="preserve">    </v>
      </c>
      <c r="AD84" s="160" t="str">
        <f t="shared" si="289"/>
        <v xml:space="preserve">         </v>
      </c>
      <c r="AE84" s="162" t="str">
        <f t="shared" si="232"/>
        <v>0,6</v>
      </c>
      <c r="AF84" s="160" t="str">
        <f t="shared" si="290"/>
        <v xml:space="preserve">         </v>
      </c>
      <c r="AG84" s="161" t="str">
        <f t="shared" si="233"/>
        <v>0,6</v>
      </c>
      <c r="AH84" s="160" t="str">
        <f t="shared" ref="AH84:AH143" si="327" xml:space="preserve"> CONCATENATE( REPT(" ",MAX(0,12-LEN(AI84))) )</f>
        <v xml:space="preserve">         </v>
      </c>
      <c r="AI84" s="163" t="str">
        <f t="shared" si="234"/>
        <v>0,6</v>
      </c>
      <c r="AJ84" s="160" t="str">
        <f t="shared" si="283"/>
        <v xml:space="preserve">      </v>
      </c>
      <c r="AK84" s="163" t="str">
        <f t="shared" si="287"/>
        <v/>
      </c>
      <c r="AL84" s="163"/>
      <c r="AM84" s="153" t="str">
        <f t="shared" ref="AM84:AM86" si="328" xml:space="preserve"> CONCATENATE( REPT( " ", IFERROR( ROUNDDOWN( LOG( MAX($Q$83:$Q$86), 10 ), 0 ), 0 ) - IFERROR( ROUNDDOWN( LOG( Q84, 10 ), 0 ), 0 )) &amp; Q84 &amp; R84 )</f>
        <v>180 person-days</v>
      </c>
      <c r="AN84" s="153"/>
      <c r="AO84" s="153">
        <f t="shared" ref="AO84" si="329" xml:space="preserve"> (J84&gt;0) * ROUNDUP( K84/35, 0 )</f>
        <v>1</v>
      </c>
      <c r="AP84" s="153"/>
      <c r="AR84" s="31"/>
      <c r="AS84">
        <v>0</v>
      </c>
      <c r="CM84" t="s">
        <v>401</v>
      </c>
      <c r="DL84">
        <f ca="1" xml:space="preserve"> IF( $AV84=Tables!$C$189, 5, RANDBETWEEN(1,6)+RANDBETWEEN(1,6)-2 )</f>
        <v>4</v>
      </c>
      <c r="DM84">
        <f ca="1" xml:space="preserve"> IF( $AV84=Tables!$C$189, 0, RANDBETWEEN(1,6)-RANDBETWEEN(1,6)+ VLOOKUP( $AS84, Tables!$A$184:$Q$193,  14 ) )</f>
        <v>1</v>
      </c>
      <c r="DN84">
        <f ca="1" xml:space="preserve"> IF( $AV84=Tables!$C$189, 0, RANDBETWEEN(1,6)-RANDBETWEEN(1,6)+ VLOOKUP( $AS84, Tables!$A$184:$Q$193,  15 ) )</f>
        <v>1</v>
      </c>
      <c r="DO84">
        <f ca="1" xml:space="preserve"> IF( $AV84=Tables!$C$189, 0, RANDBETWEEN(1,6)-RANDBETWEEN(1,6)+ VLOOKUP( $AS84, Tables!$A$184:$Q$193,  16 ) )</f>
        <v>-4</v>
      </c>
      <c r="DP84">
        <f ca="1" xml:space="preserve"> IF( $AV84=Tables!$C$189, 0, RANDBETWEEN(1,6)-RANDBETWEEN(1,6)+ VLOOKUP( $AS84, Tables!$A$184:$Q$193,  17 ) )</f>
        <v>-2</v>
      </c>
      <c r="DQ84" s="44" t="str">
        <f ca="1" xml:space="preserve"> VLOOKUP( $DL84,Tables!$B$2:$C$36,2)</f>
        <v>4</v>
      </c>
      <c r="DR84" t="str">
        <f t="shared" ca="1" si="314"/>
        <v xml:space="preserve"> 1</v>
      </c>
      <c r="DS84" t="str">
        <f t="shared" ca="1" si="315"/>
        <v xml:space="preserve"> 1</v>
      </c>
      <c r="DT84" t="str">
        <f t="shared" ca="1" si="316"/>
        <v>-4</v>
      </c>
      <c r="DU84" t="str">
        <f t="shared" ca="1" si="317"/>
        <v>-2</v>
      </c>
      <c r="DW84" s="194">
        <f xml:space="preserve"> SUM( DX$4:DX84, -DX84 )</f>
        <v>0</v>
      </c>
      <c r="DX84" s="194">
        <v>0</v>
      </c>
      <c r="DY84" s="194">
        <f xml:space="preserve"> SUM( DZ$4:DZ84, -DZ84 )</f>
        <v>13</v>
      </c>
      <c r="DZ84" s="194">
        <v>0</v>
      </c>
      <c r="EA84" s="194">
        <f xml:space="preserve"> SUM( EB$4:EB84, -EB84 )</f>
        <v>12</v>
      </c>
      <c r="EB84" s="194">
        <v>0</v>
      </c>
      <c r="EC84" s="194">
        <f xml:space="preserve"> SUM( ED$4:ED84, -ED84 )</f>
        <v>0</v>
      </c>
      <c r="ED84" s="194">
        <v>0</v>
      </c>
      <c r="EE84" s="194">
        <f xml:space="preserve"> SUM( EF$4:EF84, -EF84 )</f>
        <v>0.50000000000000011</v>
      </c>
      <c r="EF84" s="194">
        <f t="shared" si="318"/>
        <v>0.6</v>
      </c>
      <c r="EG84" s="194">
        <f xml:space="preserve"> SUM( EH$4:EH84, -EH84 )</f>
        <v>0</v>
      </c>
      <c r="EH84" s="194">
        <v>0</v>
      </c>
      <c r="EI84" s="194">
        <f xml:space="preserve"> SUM( EJ$4:EJ84, -EJ84 )</f>
        <v>0</v>
      </c>
      <c r="EJ84" s="194">
        <v>0</v>
      </c>
      <c r="EK84" s="194">
        <f xml:space="preserve"> SUM( EL$4:EL84, -EL84 )</f>
        <v>0</v>
      </c>
      <c r="EL84" s="194">
        <v>0</v>
      </c>
      <c r="EM84" s="194">
        <f xml:space="preserve"> SUM( EN$4:EN84, -EN84 )</f>
        <v>0</v>
      </c>
      <c r="EN84" s="194">
        <v>0</v>
      </c>
      <c r="EO84" s="194">
        <f xml:space="preserve"> SUM( EP$4:EP84, -EP84 )</f>
        <v>0</v>
      </c>
      <c r="EP84" s="194">
        <v>0</v>
      </c>
      <c r="EQ84" s="194">
        <f xml:space="preserve"> SUM( ER$4:ER84, -ER84 )</f>
        <v>24</v>
      </c>
      <c r="ER84" s="194">
        <v>0</v>
      </c>
      <c r="ES84" s="194">
        <f xml:space="preserve"> SUM( ET$4:ET84, -ET84 )</f>
        <v>0</v>
      </c>
      <c r="ET84" s="194">
        <v>0</v>
      </c>
      <c r="EU84" s="194">
        <f xml:space="preserve"> SUM( EV$4:EV84, -EV84 )</f>
        <v>10</v>
      </c>
      <c r="EV84" s="194">
        <v>0</v>
      </c>
      <c r="EW84" s="194">
        <f xml:space="preserve"> SUM( EX$4:EX84, -EX84 )</f>
        <v>6</v>
      </c>
      <c r="EX84" s="194">
        <v>0</v>
      </c>
      <c r="EZ84" t="str">
        <f t="shared" si="312"/>
        <v>Life Support</v>
      </c>
      <c r="FB84" s="237">
        <f xml:space="preserve"> SUM( FC$4:FC84, -FC84 )</f>
        <v>4</v>
      </c>
      <c r="FC84" s="237">
        <v>0</v>
      </c>
      <c r="FD84" s="237">
        <f xml:space="preserve"> SUM( FE$4:FE84, -FE84 )</f>
        <v>1</v>
      </c>
      <c r="FE84" s="237">
        <v>0</v>
      </c>
      <c r="FF84" t="str">
        <f t="shared" si="288"/>
        <v>Life Support</v>
      </c>
    </row>
    <row r="85" spans="1:162">
      <c r="A85" t="s">
        <v>575</v>
      </c>
      <c r="C85" s="250" t="s">
        <v>857</v>
      </c>
      <c r="D85" s="251">
        <v>0</v>
      </c>
      <c r="E85" s="250"/>
      <c r="F85" s="250"/>
      <c r="G85" s="11">
        <v>0</v>
      </c>
      <c r="H85" s="237"/>
      <c r="I85" s="4"/>
      <c r="J85" s="191">
        <f xml:space="preserve"> ROUNDUP( G85 * I84, 1 )</f>
        <v>0</v>
      </c>
      <c r="K85" s="194">
        <f xml:space="preserve"> J85 * ( 1 + 3*(D85&gt;0) )</f>
        <v>0</v>
      </c>
      <c r="L85" s="194">
        <f xml:space="preserve"> K85</f>
        <v>0</v>
      </c>
      <c r="M85" s="191"/>
      <c r="N85" s="191"/>
      <c r="O85" s="191"/>
      <c r="P85" s="106"/>
      <c r="Q85" s="106">
        <f>K85 * 30</f>
        <v>0</v>
      </c>
      <c r="R85" s="106" t="str">
        <f t="shared" si="326"/>
        <v/>
      </c>
      <c r="S85" s="226"/>
      <c r="T85" t="str">
        <f t="shared" ref="T85" si="330" xml:space="preserve"> IF( K85&gt;0, CONCATENATE( DQ85, DR85, DS85, DT85, DU85 ), "" )</f>
        <v/>
      </c>
      <c r="U85" s="106"/>
      <c r="V85" s="106"/>
      <c r="W85" s="106"/>
      <c r="X85" s="106"/>
      <c r="Y85" s="156"/>
      <c r="Z85" s="160" t="str">
        <f t="shared" si="281"/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</v>
      </c>
      <c r="AA85" s="160" t="str">
        <f xml:space="preserve"> IF( OR(J85&lt;&gt;0,K85&lt;&gt;0,L85&lt;&gt;0), CONCATENATE( newline &amp; AB85 &amp; AC85 &amp; AD85 &amp; AE85 &amp; AF85 &amp; AG85 &amp; AH85 &amp; AI85 &amp; AJ85 &amp; AK85 &amp; "  " &amp; AM85 ), "" )</f>
        <v/>
      </c>
      <c r="AB85" s="161" t="str">
        <f xml:space="preserve"> CONCATENATE( A85 &amp; ", " &amp; IF( LongTermLS&gt;0, "Long term", C85) &amp; " " &amp; G85*100 &amp; "%" )</f>
        <v>Life Support, Adaptable 0%</v>
      </c>
      <c r="AC85" s="160" t="str">
        <f t="shared" ref="AC85" si="331" xml:space="preserve"> CONCATENATE( REPT(" ",MAX(0,31-LEN(AB85))) )</f>
        <v xml:space="preserve">     </v>
      </c>
      <c r="AD85" s="160" t="str">
        <f t="shared" ref="AD85" si="332" xml:space="preserve"> CONCATENATE( REPT(" ",MAX(0,12-LEN(AE85))) )</f>
        <v xml:space="preserve">           </v>
      </c>
      <c r="AE85" s="162" t="str">
        <f t="shared" ref="AE85" si="333" xml:space="preserve"> CONCATENATE( J85 )</f>
        <v>0</v>
      </c>
      <c r="AF85" s="160" t="str">
        <f t="shared" ref="AF85" si="334" xml:space="preserve"> CONCATENATE( REPT(" ",MAX(0,12-LEN(AG85))) )</f>
        <v xml:space="preserve">           </v>
      </c>
      <c r="AG85" s="161" t="str">
        <f t="shared" ref="AG85" si="335" xml:space="preserve"> CONCATENATE( K85 )</f>
        <v>0</v>
      </c>
      <c r="AH85" s="160" t="str">
        <f t="shared" ref="AH85" si="336" xml:space="preserve"> CONCATENATE( REPT(" ",MAX(0,12-LEN(AI85))) )</f>
        <v xml:space="preserve">           </v>
      </c>
      <c r="AI85" s="163" t="str">
        <f t="shared" ref="AI85" si="337" xml:space="preserve"> CONCATENATE( L85 )</f>
        <v>0</v>
      </c>
      <c r="AJ85" s="160" t="str">
        <f t="shared" ref="AJ85" si="338" xml:space="preserve"> CONCATENATE( REPT(" ",MAX(0,6-LEN(AK85))) )</f>
        <v xml:space="preserve">      </v>
      </c>
      <c r="AK85" s="163" t="str">
        <f t="shared" ref="AK85" si="339" xml:space="preserve"> IF( AND(S85&gt;0,S85&lt;&gt;TL), CONCATENATE( "TL" &amp; S85  ), "" )</f>
        <v/>
      </c>
      <c r="AL85" s="163"/>
      <c r="AM85" s="153" t="str">
        <f t="shared" si="328"/>
        <v xml:space="preserve">  0</v>
      </c>
      <c r="AN85" s="153"/>
      <c r="AO85" s="153">
        <f t="shared" ref="AO85" si="340" xml:space="preserve"> (J85&gt;0) * ROUNDUP( K85/35, 0 )</f>
        <v>0</v>
      </c>
      <c r="AP85" s="153"/>
      <c r="AR85" s="85"/>
      <c r="AS85">
        <v>0</v>
      </c>
      <c r="CM85" t="s">
        <v>401</v>
      </c>
      <c r="DL85">
        <f ca="1" xml:space="preserve"> IF( $AV85=Tables!$C$189, 5, RANDBETWEEN(1,6)+RANDBETWEEN(1,6)-2 )</f>
        <v>8</v>
      </c>
      <c r="DM85">
        <f ca="1" xml:space="preserve"> IF( $AV85=Tables!$C$189, 0, RANDBETWEEN(1,6)-RANDBETWEEN(1,6)+ VLOOKUP( $AS85, Tables!$A$184:$Q$193,  14 ) )</f>
        <v>1</v>
      </c>
      <c r="DN85">
        <f ca="1" xml:space="preserve"> IF( $AV85=Tables!$C$189, 0, RANDBETWEEN(1,6)-RANDBETWEEN(1,6)+ VLOOKUP( $AS85, Tables!$A$184:$Q$193,  15 ) )</f>
        <v>0</v>
      </c>
      <c r="DO85">
        <f ca="1" xml:space="preserve"> IF( $AV85=Tables!$C$189, 0, RANDBETWEEN(1,6)-RANDBETWEEN(1,6)+ VLOOKUP( $AS85, Tables!$A$184:$Q$193,  16 ) )</f>
        <v>-4</v>
      </c>
      <c r="DP85">
        <f ca="1" xml:space="preserve"> IF( $AV85=Tables!$C$189, 0, RANDBETWEEN(1,6)-RANDBETWEEN(1,6)+ VLOOKUP( $AS85, Tables!$A$184:$Q$193,  17 ) )</f>
        <v>-2</v>
      </c>
      <c r="DQ85" s="44" t="str">
        <f ca="1" xml:space="preserve"> VLOOKUP( $DL85,Tables!$B$2:$C$36,2)</f>
        <v>8</v>
      </c>
      <c r="DR85" t="str">
        <f t="shared" ref="DR85" ca="1" si="341" xml:space="preserve"> IF( DM85&lt;0, CONCATENATE( DM85 ), CONCATENATE( " ", DM85 ) )</f>
        <v xml:space="preserve"> 1</v>
      </c>
      <c r="DS85" t="str">
        <f t="shared" ref="DS85" ca="1" si="342" xml:space="preserve"> IF( DN85&lt;0, CONCATENATE( DN85 ), CONCATENATE( " ", DN85 ) )</f>
        <v xml:space="preserve"> 0</v>
      </c>
      <c r="DT85" t="str">
        <f t="shared" ref="DT85" ca="1" si="343" xml:space="preserve"> IF( DO85&lt;0, CONCATENATE( DO85 ), CONCATENATE( " ", DO85 ) )</f>
        <v>-4</v>
      </c>
      <c r="DU85" t="str">
        <f t="shared" ref="DU85" ca="1" si="344" xml:space="preserve"> IF( DP85&lt;0, CONCATENATE( DP85 ), CONCATENATE( " ", DP85 ) )</f>
        <v>-2</v>
      </c>
      <c r="DW85" s="194">
        <f xml:space="preserve"> SUM( DX$4:DX85, -DX85 )</f>
        <v>0</v>
      </c>
      <c r="DX85" s="194">
        <v>0</v>
      </c>
      <c r="DY85" s="194">
        <f xml:space="preserve"> SUM( DZ$4:DZ85, -DZ85 )</f>
        <v>13</v>
      </c>
      <c r="DZ85" s="194">
        <v>0</v>
      </c>
      <c r="EA85" s="194">
        <f xml:space="preserve"> SUM( EB$4:EB85, -EB85 )</f>
        <v>12</v>
      </c>
      <c r="EB85" s="194">
        <v>0</v>
      </c>
      <c r="EC85" s="194">
        <f xml:space="preserve"> SUM( ED$4:ED85, -ED85 )</f>
        <v>0</v>
      </c>
      <c r="ED85" s="194">
        <v>0</v>
      </c>
      <c r="EE85" s="194">
        <f xml:space="preserve"> SUM( EF$4:EF85, -EF85 )</f>
        <v>1.1000000000000001</v>
      </c>
      <c r="EF85" s="194">
        <f t="shared" ref="EF85" si="345">K85</f>
        <v>0</v>
      </c>
      <c r="EG85" s="194">
        <f xml:space="preserve"> SUM( EH$4:EH85, -EH85 )</f>
        <v>0</v>
      </c>
      <c r="EH85" s="194">
        <v>0</v>
      </c>
      <c r="EI85" s="194">
        <f xml:space="preserve"> SUM( EJ$4:EJ85, -EJ85 )</f>
        <v>0</v>
      </c>
      <c r="EJ85" s="194">
        <v>0</v>
      </c>
      <c r="EK85" s="194">
        <f xml:space="preserve"> SUM( EL$4:EL85, -EL85 )</f>
        <v>0</v>
      </c>
      <c r="EL85" s="194">
        <v>0</v>
      </c>
      <c r="EM85" s="194">
        <f xml:space="preserve"> SUM( EN$4:EN85, -EN85 )</f>
        <v>0</v>
      </c>
      <c r="EN85" s="194">
        <v>0</v>
      </c>
      <c r="EO85" s="194">
        <f xml:space="preserve"> SUM( EP$4:EP85, -EP85 )</f>
        <v>0</v>
      </c>
      <c r="EP85" s="194">
        <v>0</v>
      </c>
      <c r="EQ85" s="194">
        <f xml:space="preserve"> SUM( ER$4:ER85, -ER85 )</f>
        <v>24</v>
      </c>
      <c r="ER85" s="194">
        <v>0</v>
      </c>
      <c r="ES85" s="194">
        <f xml:space="preserve"> SUM( ET$4:ET85, -ET85 )</f>
        <v>0</v>
      </c>
      <c r="ET85" s="194">
        <v>0</v>
      </c>
      <c r="EU85" s="194">
        <f xml:space="preserve"> SUM( EV$4:EV85, -EV85 )</f>
        <v>10</v>
      </c>
      <c r="EV85" s="194">
        <v>0</v>
      </c>
      <c r="EW85" s="194">
        <f xml:space="preserve"> SUM( EX$4:EX85, -EX85 )</f>
        <v>6</v>
      </c>
      <c r="EX85" s="194">
        <v>0</v>
      </c>
      <c r="EZ85" t="str">
        <f t="shared" ref="EZ85" si="346">A85</f>
        <v>Life Support</v>
      </c>
      <c r="FB85" s="237">
        <f xml:space="preserve"> SUM( FC$4:FC85, -FC85 )</f>
        <v>4</v>
      </c>
      <c r="FC85" s="237">
        <v>0</v>
      </c>
      <c r="FD85" s="237">
        <f xml:space="preserve"> SUM( FE$4:FE85, -FE85 )</f>
        <v>1</v>
      </c>
      <c r="FE85" s="237">
        <v>0</v>
      </c>
      <c r="FF85" t="str">
        <f t="shared" ref="FF85" si="347">EZ85</f>
        <v>Life Support</v>
      </c>
    </row>
    <row r="86" spans="1:162">
      <c r="A86" t="s">
        <v>482</v>
      </c>
      <c r="C86" s="15"/>
      <c r="D86" s="15"/>
      <c r="E86" s="66"/>
      <c r="F86" s="66"/>
      <c r="G86" s="11">
        <v>2</v>
      </c>
      <c r="H86" s="26"/>
      <c r="I86" s="4">
        <f xml:space="preserve"> ROUNDUP( G86 * SUM(I63,J68:J69,J73,AV76), 0 )</f>
        <v>6</v>
      </c>
      <c r="J86" s="3">
        <f xml:space="preserve"> ROUNDUP( I86 / 10, 0 )</f>
        <v>1</v>
      </c>
      <c r="K86" s="51">
        <f>J86 * 1</f>
        <v>1</v>
      </c>
      <c r="L86" s="51">
        <f>J86 * 1</f>
        <v>1</v>
      </c>
      <c r="M86" s="3"/>
      <c r="N86" s="48"/>
      <c r="O86" s="3"/>
      <c r="P86" s="35"/>
      <c r="Q86" s="106">
        <f xml:space="preserve"> J86 * 10</f>
        <v>10</v>
      </c>
      <c r="R86" s="106" t="str">
        <f xml:space="preserve"> IF( Q86&gt;0, " people", "" )</f>
        <v xml:space="preserve"> people</v>
      </c>
      <c r="S86" s="227"/>
      <c r="T86" t="str">
        <f t="shared" ca="1" si="313"/>
        <v>5 0-2-3 0</v>
      </c>
      <c r="U86" s="35"/>
      <c r="V86" s="35"/>
      <c r="W86" s="35"/>
      <c r="X86" s="35"/>
      <c r="Y86" s="157"/>
      <c r="Z86" s="160" t="str">
        <f t="shared" si="281"/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</v>
      </c>
      <c r="AA86" s="160" t="str">
        <f xml:space="preserve"> IF( OR(J86&lt;&gt;0,K86&lt;&gt;0,L86&lt;&gt;0), CONCATENATE( newline &amp; AB86 &amp; AC86 &amp; AD86 &amp; AE86 &amp; AF86 &amp; AG86 &amp; AH86 &amp; AI86 &amp; AJ86 &amp; AK86 &amp; "  " &amp; AM86 ), "" )</f>
        <v xml:space="preserve">
Escape Capsules 200%                      1           1           1         10 people</v>
      </c>
      <c r="AB86" s="161" t="str">
        <f xml:space="preserve"> CONCATENATE( A86 &amp; " " &amp; G86*100 &amp; "%" )</f>
        <v>Escape Capsules 200%</v>
      </c>
      <c r="AC86" s="160" t="str">
        <f t="shared" si="282"/>
        <v xml:space="preserve">           </v>
      </c>
      <c r="AD86" s="160" t="str">
        <f t="shared" si="289"/>
        <v xml:space="preserve">           </v>
      </c>
      <c r="AE86" s="162" t="str">
        <f t="shared" si="232"/>
        <v>1</v>
      </c>
      <c r="AF86" s="160" t="str">
        <f t="shared" si="290"/>
        <v xml:space="preserve">           </v>
      </c>
      <c r="AG86" s="161" t="str">
        <f t="shared" si="233"/>
        <v>1</v>
      </c>
      <c r="AH86" s="160" t="str">
        <f t="shared" si="327"/>
        <v xml:space="preserve">           </v>
      </c>
      <c r="AI86" s="163" t="str">
        <f t="shared" si="234"/>
        <v>1</v>
      </c>
      <c r="AJ86" s="160" t="str">
        <f t="shared" si="283"/>
        <v xml:space="preserve">      </v>
      </c>
      <c r="AK86" s="163" t="str">
        <f t="shared" si="287"/>
        <v/>
      </c>
      <c r="AL86" s="163"/>
      <c r="AM86" s="153" t="str">
        <f t="shared" si="328"/>
        <v xml:space="preserve"> 10 people</v>
      </c>
      <c r="AN86" s="153"/>
      <c r="AO86" s="153">
        <f xml:space="preserve"> (J86&gt;0) * ROUNDUP( K86/35, 0 ) * 0</f>
        <v>0</v>
      </c>
      <c r="AP86" s="153"/>
      <c r="AR86" s="31"/>
      <c r="AS86">
        <v>0</v>
      </c>
      <c r="CM86" t="s">
        <v>163</v>
      </c>
      <c r="DL86">
        <f ca="1" xml:space="preserve"> IF( $AV86=Tables!$C$189, 5, RANDBETWEEN(1,6)+RANDBETWEEN(1,6)-2 )</f>
        <v>5</v>
      </c>
      <c r="DM86">
        <f ca="1" xml:space="preserve"> IF( $AV86=Tables!$C$189, 0, RANDBETWEEN(1,6)-RANDBETWEEN(1,6)+ VLOOKUP( $AS86, Tables!$A$184:$Q$193,  14 ) )</f>
        <v>0</v>
      </c>
      <c r="DN86">
        <f ca="1" xml:space="preserve"> IF( $AV86=Tables!$C$189, 0, RANDBETWEEN(1,6)-RANDBETWEEN(1,6)+ VLOOKUP( $AS86, Tables!$A$184:$Q$193,  15 ) )</f>
        <v>-2</v>
      </c>
      <c r="DO86">
        <f ca="1" xml:space="preserve"> IF( $AV86=Tables!$C$189, 0, RANDBETWEEN(1,6)-RANDBETWEEN(1,6)+ VLOOKUP( $AS86, Tables!$A$184:$Q$193,  16 ) )</f>
        <v>-3</v>
      </c>
      <c r="DP86">
        <f ca="1" xml:space="preserve"> IF( $AV86=Tables!$C$189, 0, RANDBETWEEN(1,6)-RANDBETWEEN(1,6)+ VLOOKUP( $AS86, Tables!$A$184:$Q$193,  17 ) )</f>
        <v>0</v>
      </c>
      <c r="DQ86" s="44" t="str">
        <f ca="1" xml:space="preserve"> VLOOKUP( $DL86,Tables!$B$2:$C$36,2)</f>
        <v>5</v>
      </c>
      <c r="DR86" t="str">
        <f t="shared" ca="1" si="314"/>
        <v xml:space="preserve"> 0</v>
      </c>
      <c r="DS86" t="str">
        <f t="shared" ca="1" si="315"/>
        <v>-2</v>
      </c>
      <c r="DT86" t="str">
        <f t="shared" ca="1" si="316"/>
        <v>-3</v>
      </c>
      <c r="DU86" t="str">
        <f t="shared" ca="1" si="317"/>
        <v xml:space="preserve"> 0</v>
      </c>
      <c r="DW86" s="194">
        <f xml:space="preserve"> SUM( DX$4:DX86, -DX86 )</f>
        <v>0</v>
      </c>
      <c r="DX86" s="194">
        <v>0</v>
      </c>
      <c r="DY86" s="194">
        <f xml:space="preserve"> SUM( DZ$4:DZ86, -DZ86 )</f>
        <v>13</v>
      </c>
      <c r="DZ86" s="194">
        <v>0</v>
      </c>
      <c r="EA86" s="194">
        <f xml:space="preserve"> SUM( EB$4:EB86, -EB86 )</f>
        <v>12</v>
      </c>
      <c r="EB86" s="194">
        <v>0</v>
      </c>
      <c r="EC86" s="194">
        <f xml:space="preserve"> SUM( ED$4:ED86, -ED86 )</f>
        <v>0</v>
      </c>
      <c r="ED86" s="194">
        <v>0</v>
      </c>
      <c r="EE86" s="194">
        <f xml:space="preserve"> SUM( EF$4:EF86, -EF86 )</f>
        <v>1.1000000000000001</v>
      </c>
      <c r="EF86" s="194">
        <f t="shared" si="318"/>
        <v>1</v>
      </c>
      <c r="EG86" s="194">
        <f xml:space="preserve"> SUM( EH$4:EH86, -EH86 )</f>
        <v>0</v>
      </c>
      <c r="EH86" s="194">
        <v>0</v>
      </c>
      <c r="EI86" s="194">
        <f xml:space="preserve"> SUM( EJ$4:EJ86, -EJ86 )</f>
        <v>0</v>
      </c>
      <c r="EJ86" s="194">
        <v>0</v>
      </c>
      <c r="EK86" s="194">
        <f xml:space="preserve"> SUM( EL$4:EL86, -EL86 )</f>
        <v>0</v>
      </c>
      <c r="EL86" s="194">
        <v>0</v>
      </c>
      <c r="EM86" s="194">
        <f xml:space="preserve"> SUM( EN$4:EN86, -EN86 )</f>
        <v>0</v>
      </c>
      <c r="EN86" s="194">
        <v>0</v>
      </c>
      <c r="EO86" s="194">
        <f xml:space="preserve"> SUM( EP$4:EP86, -EP86 )</f>
        <v>0</v>
      </c>
      <c r="EP86" s="194">
        <v>0</v>
      </c>
      <c r="EQ86" s="194">
        <f xml:space="preserve"> SUM( ER$4:ER86, -ER86 )</f>
        <v>24</v>
      </c>
      <c r="ER86" s="194">
        <v>0</v>
      </c>
      <c r="ES86" s="194">
        <f xml:space="preserve"> SUM( ET$4:ET86, -ET86 )</f>
        <v>0</v>
      </c>
      <c r="ET86" s="194">
        <v>0</v>
      </c>
      <c r="EU86" s="194">
        <f xml:space="preserve"> SUM( EV$4:EV86, -EV86 )</f>
        <v>10</v>
      </c>
      <c r="EV86" s="194">
        <v>0</v>
      </c>
      <c r="EW86" s="194">
        <f xml:space="preserve"> SUM( EX$4:EX86, -EX86 )</f>
        <v>6</v>
      </c>
      <c r="EX86" s="194">
        <v>0</v>
      </c>
      <c r="EZ86" t="str">
        <f t="shared" si="312"/>
        <v>Escape Capsules</v>
      </c>
      <c r="FB86" s="237">
        <f xml:space="preserve"> SUM( FC$4:FC86, -FC86 )</f>
        <v>4</v>
      </c>
      <c r="FC86" s="237">
        <v>0</v>
      </c>
      <c r="FD86" s="237">
        <f xml:space="preserve"> SUM( FE$4:FE86, -FE86 )</f>
        <v>1</v>
      </c>
      <c r="FE86" s="237">
        <v>0</v>
      </c>
      <c r="FF86" t="str">
        <f t="shared" si="288"/>
        <v>Escape Capsules</v>
      </c>
    </row>
    <row r="87" spans="1:162">
      <c r="C87" s="66"/>
      <c r="D87" s="66"/>
      <c r="E87" s="66"/>
      <c r="F87" s="66"/>
      <c r="G87" s="48"/>
      <c r="H87" s="86"/>
      <c r="I87" s="4"/>
      <c r="J87" s="48"/>
      <c r="K87" s="80"/>
      <c r="L87" s="80"/>
      <c r="M87" s="48"/>
      <c r="N87" s="48"/>
      <c r="O87" s="48"/>
      <c r="P87" s="35"/>
      <c r="Q87" s="35"/>
      <c r="R87" s="35"/>
      <c r="S87" s="227"/>
      <c r="T87" t="str">
        <f t="shared" si="313"/>
        <v/>
      </c>
      <c r="U87" s="35"/>
      <c r="V87" s="35"/>
      <c r="W87" s="35"/>
      <c r="X87" s="35"/>
      <c r="Y87" s="157"/>
      <c r="Z87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                                                                         </v>
      </c>
      <c r="AA87" s="160" t="str">
        <f xml:space="preserve"> IF( OR(TRUE), CONCATENATE( newline &amp; AB87 &amp; AC87 &amp; AD87 &amp; AE87 &amp; AF87 &amp; AG87 &amp; AH87 &amp; AI87 &amp; AJ87 &amp; AK87 ), "" )</f>
        <v xml:space="preserve">
                                                                         </v>
      </c>
      <c r="AB87" s="161" t="str">
        <f t="shared" si="231"/>
        <v/>
      </c>
      <c r="AC87" s="160" t="str">
        <f t="shared" si="282"/>
        <v xml:space="preserve">                               </v>
      </c>
      <c r="AD87" s="160" t="str">
        <f t="shared" si="289"/>
        <v xml:space="preserve">            </v>
      </c>
      <c r="AE87" s="162" t="str">
        <f t="shared" si="232"/>
        <v/>
      </c>
      <c r="AF87" s="160" t="str">
        <f t="shared" si="290"/>
        <v xml:space="preserve">            </v>
      </c>
      <c r="AG87" s="161" t="str">
        <f t="shared" si="233"/>
        <v/>
      </c>
      <c r="AH87" s="160" t="str">
        <f t="shared" si="327"/>
        <v xml:space="preserve">            </v>
      </c>
      <c r="AI87" s="163" t="str">
        <f t="shared" si="234"/>
        <v/>
      </c>
      <c r="AJ87" s="160" t="str">
        <f t="shared" si="283"/>
        <v xml:space="preserve">      </v>
      </c>
      <c r="AK87" s="163" t="str">
        <f t="shared" si="287"/>
        <v/>
      </c>
      <c r="AL87" s="163"/>
      <c r="AM87" s="153"/>
      <c r="AN87" s="153"/>
      <c r="AO87" s="153"/>
      <c r="AP87" s="153"/>
      <c r="AR87" s="31"/>
      <c r="AS87">
        <v>0</v>
      </c>
      <c r="CM87" t="s">
        <v>402</v>
      </c>
      <c r="DL87"/>
      <c r="DQ87" s="44"/>
      <c r="DW87" s="194">
        <f xml:space="preserve"> SUM( DX$4:DX87, -DX87 )</f>
        <v>0</v>
      </c>
      <c r="DX87" s="194">
        <v>0</v>
      </c>
      <c r="DY87" s="194">
        <f xml:space="preserve"> SUM( DZ$4:DZ87, -DZ87 )</f>
        <v>13</v>
      </c>
      <c r="DZ87" s="194">
        <v>0</v>
      </c>
      <c r="EA87" s="194">
        <f xml:space="preserve"> SUM( EB$4:EB87, -EB87 )</f>
        <v>12</v>
      </c>
      <c r="EB87" s="194">
        <v>0</v>
      </c>
      <c r="EC87" s="194">
        <f xml:space="preserve"> SUM( ED$4:ED87, -ED87 )</f>
        <v>0</v>
      </c>
      <c r="ED87" s="194">
        <v>0</v>
      </c>
      <c r="EE87" s="194">
        <f xml:space="preserve"> SUM( EF$4:EF87, -EF87 )</f>
        <v>2.1</v>
      </c>
      <c r="EF87" s="194">
        <v>0</v>
      </c>
      <c r="EG87" s="194">
        <f xml:space="preserve"> SUM( EH$4:EH87, -EH87 )</f>
        <v>0</v>
      </c>
      <c r="EH87" s="194">
        <v>0</v>
      </c>
      <c r="EI87" s="194">
        <f xml:space="preserve"> SUM( EJ$4:EJ87, -EJ87 )</f>
        <v>0</v>
      </c>
      <c r="EJ87" s="194">
        <v>0</v>
      </c>
      <c r="EK87" s="194">
        <f xml:space="preserve"> SUM( EL$4:EL87, -EL87 )</f>
        <v>0</v>
      </c>
      <c r="EL87" s="194">
        <v>0</v>
      </c>
      <c r="EM87" s="194">
        <f xml:space="preserve"> SUM( EN$4:EN87, -EN87 )</f>
        <v>0</v>
      </c>
      <c r="EN87" s="194">
        <v>0</v>
      </c>
      <c r="EO87" s="194">
        <f xml:space="preserve"> SUM( EP$4:EP87, -EP87 )</f>
        <v>0</v>
      </c>
      <c r="EP87" s="194">
        <v>0</v>
      </c>
      <c r="EQ87" s="194">
        <f xml:space="preserve"> SUM( ER$4:ER87, -ER87 )</f>
        <v>24</v>
      </c>
      <c r="ER87" s="194">
        <v>0</v>
      </c>
      <c r="ES87" s="194">
        <f xml:space="preserve"> SUM( ET$4:ET87, -ET87 )</f>
        <v>0</v>
      </c>
      <c r="ET87" s="194">
        <v>0</v>
      </c>
      <c r="EU87" s="194">
        <f xml:space="preserve"> SUM( EV$4:EV87, -EV87 )</f>
        <v>10</v>
      </c>
      <c r="EV87" s="194">
        <v>0</v>
      </c>
      <c r="EW87" s="194">
        <f xml:space="preserve"> SUM( EX$4:EX87, -EX87 )</f>
        <v>6</v>
      </c>
      <c r="EX87" s="194">
        <v>0</v>
      </c>
      <c r="EZ87">
        <f t="shared" si="312"/>
        <v>0</v>
      </c>
      <c r="FB87" s="237">
        <f xml:space="preserve"> SUM( FC$4:FC87, -FC87 )</f>
        <v>4</v>
      </c>
      <c r="FC87" s="237">
        <v>0</v>
      </c>
      <c r="FD87" s="237">
        <f xml:space="preserve"> SUM( FE$4:FE87, -FE87 )</f>
        <v>1</v>
      </c>
      <c r="FE87" s="237">
        <v>0</v>
      </c>
      <c r="FF87">
        <f t="shared" si="288"/>
        <v>0</v>
      </c>
    </row>
    <row r="88" spans="1:162">
      <c r="A88" t="s">
        <v>1049</v>
      </c>
      <c r="C88" s="232"/>
      <c r="D88" s="32">
        <v>1</v>
      </c>
      <c r="E88" s="232"/>
      <c r="F88" s="232"/>
      <c r="G88" s="27">
        <v>0</v>
      </c>
      <c r="H88" s="86"/>
      <c r="I88" s="4"/>
      <c r="J88" s="191"/>
      <c r="K88" s="194">
        <f>G88*D88</f>
        <v>0</v>
      </c>
      <c r="L88" s="194">
        <f>K88*0</f>
        <v>0</v>
      </c>
      <c r="M88" s="191"/>
      <c r="N88" s="191"/>
      <c r="O88" s="191"/>
      <c r="P88" s="35"/>
      <c r="Q88" s="35"/>
      <c r="R88" s="35"/>
      <c r="S88" s="227"/>
      <c r="T88" t="str">
        <f t="shared" ref="T88" si="348" xml:space="preserve"> IF( K88&gt;0, CONCATENATE( DQ88, DR88, DS88, DT88, DU88 ), "" )</f>
        <v/>
      </c>
      <c r="U88" s="35"/>
      <c r="V88" s="35"/>
      <c r="W88" s="35"/>
      <c r="X88" s="35"/>
      <c r="Y88" s="157"/>
      <c r="Z88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                                                                         </v>
      </c>
      <c r="AA88" s="160" t="str">
        <f t="shared" ref="AA88" si="349" xml:space="preserve"> IF( OR(J88&lt;&gt;0,K88&lt;&gt;0,L88&lt;&gt;0), CONCATENATE( newline &amp; AB88 &amp; AC88 &amp; AD88 &amp; AE88 &amp; AF88 &amp; AG88 &amp; AH88 &amp; AI88 &amp; AJ88 &amp; AK88 ), "" )</f>
        <v/>
      </c>
      <c r="AB88" s="161" t="str">
        <f t="shared" ref="AB88" si="350" xml:space="preserve"> CONCATENATE( A88 )</f>
        <v>Ship's Locker</v>
      </c>
      <c r="AC88" s="160" t="str">
        <f t="shared" ref="AC88" si="351" xml:space="preserve"> CONCATENATE( REPT(" ",MAX(0,31-LEN(AB88))) )</f>
        <v xml:space="preserve">                  </v>
      </c>
      <c r="AD88" s="160" t="str">
        <f t="shared" ref="AD88" si="352" xml:space="preserve"> CONCATENATE( REPT(" ",MAX(0,12-LEN(AE88))) )</f>
        <v xml:space="preserve">            </v>
      </c>
      <c r="AE88" s="162" t="str">
        <f t="shared" ref="AE88" si="353" xml:space="preserve"> CONCATENATE( J88 )</f>
        <v/>
      </c>
      <c r="AF88" s="160" t="str">
        <f t="shared" ref="AF88" si="354" xml:space="preserve"> CONCATENATE( REPT(" ",MAX(0,12-LEN(AG88))) )</f>
        <v xml:space="preserve">           </v>
      </c>
      <c r="AG88" s="161" t="str">
        <f t="shared" ref="AG88" si="355" xml:space="preserve"> CONCATENATE( K88 )</f>
        <v>0</v>
      </c>
      <c r="AH88" s="160" t="str">
        <f t="shared" ref="AH88" si="356" xml:space="preserve"> CONCATENATE( REPT(" ",MAX(0,12-LEN(AI88))) )</f>
        <v xml:space="preserve">           </v>
      </c>
      <c r="AI88" s="163" t="str">
        <f t="shared" ref="AI88" si="357" xml:space="preserve"> CONCATENATE( L88 )</f>
        <v>0</v>
      </c>
      <c r="AJ88" s="160" t="str">
        <f t="shared" ref="AJ88" si="358" xml:space="preserve"> CONCATENATE( REPT(" ",MAX(0,6-LEN(AK88))) )</f>
        <v xml:space="preserve">      </v>
      </c>
      <c r="AK88" s="163" t="str">
        <f t="shared" ref="AK88" si="359" xml:space="preserve"> IF( AND(S88&gt;0,S88&lt;&gt;TL), CONCATENATE( "TL" &amp; S88  ), "" )</f>
        <v/>
      </c>
      <c r="AL88" s="163"/>
      <c r="AM88" s="153"/>
      <c r="AN88" s="153"/>
      <c r="AO88" s="153"/>
      <c r="AP88" s="153"/>
      <c r="AR88" s="85"/>
      <c r="AS88">
        <v>0</v>
      </c>
      <c r="CM88" t="s">
        <v>403</v>
      </c>
      <c r="DL88">
        <f ca="1" xml:space="preserve"> IF( $AV88=Tables!$C$189, 5, RANDBETWEEN(1,6)+RANDBETWEEN(1,6)-2 )</f>
        <v>5</v>
      </c>
      <c r="DM88">
        <f ca="1" xml:space="preserve"> IF( $AV88=Tables!$C$189, 0, RANDBETWEEN(1,6)-RANDBETWEEN(1,6)+ VLOOKUP( $AS88, Tables!$A$184:$Q$193,  14 ) )</f>
        <v>-2</v>
      </c>
      <c r="DN88">
        <f ca="1" xml:space="preserve"> IF( $AV88=Tables!$C$189, 0, RANDBETWEEN(1,6)-RANDBETWEEN(1,6)+ VLOOKUP( $AS88, Tables!$A$184:$Q$193,  15 ) )</f>
        <v>0</v>
      </c>
      <c r="DO88">
        <f ca="1" xml:space="preserve"> IF( $AV88=Tables!$C$189, 0, RANDBETWEEN(1,6)-RANDBETWEEN(1,6)+ VLOOKUP( $AS88, Tables!$A$184:$Q$193,  16 ) )</f>
        <v>3</v>
      </c>
      <c r="DP88">
        <f ca="1" xml:space="preserve"> IF( $AV88=Tables!$C$189, 0, RANDBETWEEN(1,6)-RANDBETWEEN(1,6)+ VLOOKUP( $AS88, Tables!$A$184:$Q$193,  17 ) )</f>
        <v>-1</v>
      </c>
      <c r="DQ88" s="44" t="str">
        <f ca="1" xml:space="preserve"> VLOOKUP( $DL88,Tables!$B$2:$C$36,2)</f>
        <v>5</v>
      </c>
      <c r="DR88" t="str">
        <f t="shared" ref="DR88" ca="1" si="360" xml:space="preserve"> IF( DM88&lt;0, CONCATENATE( DM88 ), CONCATENATE( " ", DM88 ) )</f>
        <v>-2</v>
      </c>
      <c r="DS88" t="str">
        <f t="shared" ref="DS88" ca="1" si="361" xml:space="preserve"> IF( DN88&lt;0, CONCATENATE( DN88 ), CONCATENATE( " ", DN88 ) )</f>
        <v xml:space="preserve"> 0</v>
      </c>
      <c r="DT88" t="str">
        <f t="shared" ref="DT88" ca="1" si="362" xml:space="preserve"> IF( DO88&lt;0, CONCATENATE( DO88 ), CONCATENATE( " ", DO88 ) )</f>
        <v xml:space="preserve"> 3</v>
      </c>
      <c r="DU88" t="str">
        <f t="shared" ref="DU88" ca="1" si="363" xml:space="preserve"> IF( DP88&lt;0, CONCATENATE( DP88 ), CONCATENATE( " ", DP88 ) )</f>
        <v>-1</v>
      </c>
      <c r="DW88" s="194">
        <f xml:space="preserve"> SUM( DX$4:DX88, -DX88 )</f>
        <v>0</v>
      </c>
      <c r="DX88" s="194">
        <v>0</v>
      </c>
      <c r="DY88" s="194">
        <f xml:space="preserve"> SUM( DZ$4:DZ88, -DZ88 )</f>
        <v>13</v>
      </c>
      <c r="DZ88" s="194">
        <v>0</v>
      </c>
      <c r="EA88" s="194">
        <f xml:space="preserve"> SUM( EB$4:EB88, -EB88 )</f>
        <v>12</v>
      </c>
      <c r="EB88" s="194">
        <v>0</v>
      </c>
      <c r="EC88" s="194">
        <f xml:space="preserve"> SUM( ED$4:ED88, -ED88 )</f>
        <v>0</v>
      </c>
      <c r="ED88" s="194">
        <f>K88</f>
        <v>0</v>
      </c>
      <c r="EE88" s="194">
        <f xml:space="preserve"> SUM( EF$4:EF88, -EF88 )</f>
        <v>2.1</v>
      </c>
      <c r="EF88" s="194">
        <v>0</v>
      </c>
      <c r="EG88" s="194">
        <f xml:space="preserve"> SUM( EH$4:EH88, -EH88 )</f>
        <v>0</v>
      </c>
      <c r="EH88" s="194">
        <v>0</v>
      </c>
      <c r="EI88" s="194">
        <f xml:space="preserve"> SUM( EJ$4:EJ88, -EJ88 )</f>
        <v>0</v>
      </c>
      <c r="EJ88" s="194">
        <v>0</v>
      </c>
      <c r="EK88" s="194">
        <f xml:space="preserve"> SUM( EL$4:EL88, -EL88 )</f>
        <v>0</v>
      </c>
      <c r="EL88" s="194">
        <v>0</v>
      </c>
      <c r="EM88" s="194">
        <f xml:space="preserve"> SUM( EN$4:EN88, -EN88 )</f>
        <v>0</v>
      </c>
      <c r="EN88" s="194">
        <v>0</v>
      </c>
      <c r="EO88" s="194">
        <f xml:space="preserve"> SUM( EP$4:EP88, -EP88 )</f>
        <v>0</v>
      </c>
      <c r="EP88" s="194">
        <v>0</v>
      </c>
      <c r="EQ88" s="194">
        <f xml:space="preserve"> SUM( ER$4:ER88, -ER88 )</f>
        <v>24</v>
      </c>
      <c r="ER88" s="194">
        <v>0</v>
      </c>
      <c r="ES88" s="194">
        <f xml:space="preserve"> SUM( ET$4:ET88, -ET88 )</f>
        <v>0</v>
      </c>
      <c r="ET88" s="194">
        <v>0</v>
      </c>
      <c r="EU88" s="194">
        <f xml:space="preserve"> SUM( EV$4:EV88, -EV88 )</f>
        <v>10</v>
      </c>
      <c r="EV88" s="194">
        <v>0</v>
      </c>
      <c r="EW88" s="194">
        <f xml:space="preserve"> SUM( EX$4:EX88, -EX88 )</f>
        <v>6</v>
      </c>
      <c r="EX88" s="194">
        <v>0</v>
      </c>
      <c r="EZ88" t="str">
        <f t="shared" ref="EZ88" si="364">A88</f>
        <v>Ship's Locker</v>
      </c>
      <c r="FB88" s="237">
        <f xml:space="preserve"> SUM( FC$4:FC88, -FC88 )</f>
        <v>4</v>
      </c>
      <c r="FC88" s="237">
        <v>0</v>
      </c>
      <c r="FD88" s="237">
        <f xml:space="preserve"> SUM( FE$4:FE88, -FE88 )</f>
        <v>1</v>
      </c>
      <c r="FE88" s="237">
        <v>0</v>
      </c>
      <c r="FF88" t="str">
        <f t="shared" si="288"/>
        <v>Ship's Locker</v>
      </c>
    </row>
    <row r="89" spans="1:162">
      <c r="A89" t="s">
        <v>1125</v>
      </c>
      <c r="C89" s="66" t="s">
        <v>1039</v>
      </c>
      <c r="D89" s="32">
        <v>1</v>
      </c>
      <c r="E89" s="66"/>
      <c r="F89" s="66"/>
      <c r="G89" s="27">
        <v>0</v>
      </c>
      <c r="H89" s="86"/>
      <c r="I89" s="4"/>
      <c r="J89" s="191"/>
      <c r="K89" s="194">
        <f>G89*D89</f>
        <v>0</v>
      </c>
      <c r="L89" s="194">
        <f>K89*1</f>
        <v>0</v>
      </c>
      <c r="M89" s="191"/>
      <c r="N89" s="191"/>
      <c r="O89" s="191"/>
      <c r="P89" s="35"/>
      <c r="Q89" s="35"/>
      <c r="R89" s="35"/>
      <c r="S89" s="227"/>
      <c r="T89" t="str">
        <f t="shared" si="313"/>
        <v/>
      </c>
      <c r="U89" s="35"/>
      <c r="V89" s="35"/>
      <c r="W89" s="35"/>
      <c r="X89" s="35"/>
      <c r="Y89" s="157"/>
      <c r="Z89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                                                                         </v>
      </c>
      <c r="AA89" s="160" t="str">
        <f t="shared" si="284"/>
        <v/>
      </c>
      <c r="AB89" s="161" t="str">
        <f t="shared" si="231"/>
        <v>Payload, Sophisticated</v>
      </c>
      <c r="AC89" s="160" t="str">
        <f t="shared" si="282"/>
        <v xml:space="preserve">         </v>
      </c>
      <c r="AD89" s="160" t="str">
        <f t="shared" si="289"/>
        <v xml:space="preserve">            </v>
      </c>
      <c r="AE89" s="162" t="str">
        <f t="shared" si="232"/>
        <v/>
      </c>
      <c r="AF89" s="160" t="str">
        <f t="shared" si="290"/>
        <v xml:space="preserve">           </v>
      </c>
      <c r="AG89" s="161" t="str">
        <f t="shared" si="233"/>
        <v>0</v>
      </c>
      <c r="AH89" s="160" t="str">
        <f t="shared" si="327"/>
        <v xml:space="preserve">           </v>
      </c>
      <c r="AI89" s="163" t="str">
        <f t="shared" si="234"/>
        <v>0</v>
      </c>
      <c r="AJ89" s="160" t="str">
        <f t="shared" si="283"/>
        <v xml:space="preserve">      </v>
      </c>
      <c r="AK89" s="163" t="str">
        <f t="shared" si="287"/>
        <v/>
      </c>
      <c r="AL89" s="163"/>
      <c r="AM89" s="153"/>
      <c r="AN89" s="153"/>
      <c r="AO89" s="153"/>
      <c r="AP89" s="153"/>
      <c r="AR89" s="31"/>
      <c r="AS89">
        <v>0</v>
      </c>
      <c r="CM89" t="s">
        <v>403</v>
      </c>
      <c r="DL89">
        <f ca="1" xml:space="preserve"> IF( $AV89=Tables!$C$189, 5, RANDBETWEEN(1,6)+RANDBETWEEN(1,6)-2 )</f>
        <v>7</v>
      </c>
      <c r="DM89">
        <f ca="1" xml:space="preserve"> IF( $AV89=Tables!$C$189, 0, RANDBETWEEN(1,6)-RANDBETWEEN(1,6)+ VLOOKUP( $AS89, Tables!$A$184:$Q$193,  14 ) )</f>
        <v>-1</v>
      </c>
      <c r="DN89">
        <f ca="1" xml:space="preserve"> IF( $AV89=Tables!$C$189, 0, RANDBETWEEN(1,6)-RANDBETWEEN(1,6)+ VLOOKUP( $AS89, Tables!$A$184:$Q$193,  15 ) )</f>
        <v>1</v>
      </c>
      <c r="DO89">
        <f ca="1" xml:space="preserve"> IF( $AV89=Tables!$C$189, 0, RANDBETWEEN(1,6)-RANDBETWEEN(1,6)+ VLOOKUP( $AS89, Tables!$A$184:$Q$193,  16 ) )</f>
        <v>1</v>
      </c>
      <c r="DP89">
        <f ca="1" xml:space="preserve"> IF( $AV89=Tables!$C$189, 0, RANDBETWEEN(1,6)-RANDBETWEEN(1,6)+ VLOOKUP( $AS89, Tables!$A$184:$Q$193,  17 ) )</f>
        <v>2</v>
      </c>
      <c r="DQ89" s="44" t="str">
        <f ca="1" xml:space="preserve"> VLOOKUP( $DL89,Tables!$B$2:$C$36,2)</f>
        <v>7</v>
      </c>
      <c r="DR89" t="str">
        <f t="shared" ref="DR89:DR93" ca="1" si="365" xml:space="preserve"> IF( DM89&lt;0, CONCATENATE( DM89 ), CONCATENATE( " ", DM89 ) )</f>
        <v>-1</v>
      </c>
      <c r="DS89" t="str">
        <f t="shared" ref="DS89:DS93" ca="1" si="366" xml:space="preserve"> IF( DN89&lt;0, CONCATENATE( DN89 ), CONCATENATE( " ", DN89 ) )</f>
        <v xml:space="preserve"> 1</v>
      </c>
      <c r="DT89" t="str">
        <f t="shared" ref="DT89:DT93" ca="1" si="367" xml:space="preserve"> IF( DO89&lt;0, CONCATENATE( DO89 ), CONCATENATE( " ", DO89 ) )</f>
        <v xml:space="preserve"> 1</v>
      </c>
      <c r="DU89" t="str">
        <f t="shared" ref="DU89:DU93" ca="1" si="368" xml:space="preserve"> IF( DP89&lt;0, CONCATENATE( DP89 ), CONCATENATE( " ", DP89 ) )</f>
        <v xml:space="preserve"> 2</v>
      </c>
      <c r="DW89" s="194">
        <f xml:space="preserve"> SUM( DX$4:DX89, -DX89 )</f>
        <v>0</v>
      </c>
      <c r="DX89" s="194">
        <v>0</v>
      </c>
      <c r="DY89" s="194">
        <f xml:space="preserve"> SUM( DZ$4:DZ89, -DZ89 )</f>
        <v>13</v>
      </c>
      <c r="DZ89" s="194">
        <v>0</v>
      </c>
      <c r="EA89" s="194">
        <f xml:space="preserve"> SUM( EB$4:EB89, -EB89 )</f>
        <v>12</v>
      </c>
      <c r="EB89" s="194">
        <v>0</v>
      </c>
      <c r="EC89" s="194">
        <f xml:space="preserve"> SUM( ED$4:ED89, -ED89 )</f>
        <v>0</v>
      </c>
      <c r="ED89" s="194">
        <f>K89</f>
        <v>0</v>
      </c>
      <c r="EE89" s="194">
        <f xml:space="preserve"> SUM( EF$4:EF89, -EF89 )</f>
        <v>2.1</v>
      </c>
      <c r="EF89" s="194">
        <v>0</v>
      </c>
      <c r="EG89" s="194">
        <f xml:space="preserve"> SUM( EH$4:EH89, -EH89 )</f>
        <v>0</v>
      </c>
      <c r="EH89" s="194">
        <v>0</v>
      </c>
      <c r="EI89" s="194">
        <f xml:space="preserve"> SUM( EJ$4:EJ89, -EJ89 )</f>
        <v>0</v>
      </c>
      <c r="EJ89" s="194">
        <v>0</v>
      </c>
      <c r="EK89" s="194">
        <f xml:space="preserve"> SUM( EL$4:EL89, -EL89 )</f>
        <v>0</v>
      </c>
      <c r="EL89" s="194">
        <v>0</v>
      </c>
      <c r="EM89" s="194">
        <f xml:space="preserve"> SUM( EN$4:EN89, -EN89 )</f>
        <v>0</v>
      </c>
      <c r="EN89" s="194">
        <v>0</v>
      </c>
      <c r="EO89" s="194">
        <f xml:space="preserve"> SUM( EP$4:EP89, -EP89 )</f>
        <v>0</v>
      </c>
      <c r="EP89" s="194">
        <v>0</v>
      </c>
      <c r="EQ89" s="194">
        <f xml:space="preserve"> SUM( ER$4:ER89, -ER89 )</f>
        <v>24</v>
      </c>
      <c r="ER89" s="194">
        <v>0</v>
      </c>
      <c r="ES89" s="194">
        <f xml:space="preserve"> SUM( ET$4:ET89, -ET89 )</f>
        <v>0</v>
      </c>
      <c r="ET89" s="194">
        <v>0</v>
      </c>
      <c r="EU89" s="194">
        <f xml:space="preserve"> SUM( EV$4:EV89, -EV89 )</f>
        <v>10</v>
      </c>
      <c r="EV89" s="194">
        <v>0</v>
      </c>
      <c r="EW89" s="194">
        <f xml:space="preserve"> SUM( EX$4:EX89, -EX89 )</f>
        <v>6</v>
      </c>
      <c r="EX89" s="194">
        <v>0</v>
      </c>
      <c r="EZ89" t="str">
        <f t="shared" si="312"/>
        <v>Payload, Sophisticated</v>
      </c>
      <c r="FB89" s="237">
        <f xml:space="preserve"> SUM( FC$4:FC89, -FC89 )</f>
        <v>4</v>
      </c>
      <c r="FC89" s="237">
        <v>0</v>
      </c>
      <c r="FD89" s="237">
        <f xml:space="preserve"> SUM( FE$4:FE89, -FE89 )</f>
        <v>1</v>
      </c>
      <c r="FE89" s="237">
        <v>0</v>
      </c>
      <c r="FF89" t="str">
        <f t="shared" si="288"/>
        <v>Payload, Sophisticated</v>
      </c>
    </row>
    <row r="90" spans="1:162">
      <c r="A90" t="s">
        <v>1125</v>
      </c>
      <c r="C90" s="66" t="s">
        <v>1126</v>
      </c>
      <c r="D90" s="32">
        <v>4</v>
      </c>
      <c r="E90" s="66"/>
      <c r="F90" s="66"/>
      <c r="G90" s="27">
        <v>0</v>
      </c>
      <c r="H90" s="86"/>
      <c r="I90" s="4"/>
      <c r="J90" s="48"/>
      <c r="K90" s="80">
        <f>G90*D90</f>
        <v>0</v>
      </c>
      <c r="L90" s="80">
        <f>K90*1</f>
        <v>0</v>
      </c>
      <c r="M90" s="48"/>
      <c r="N90" s="48"/>
      <c r="O90" s="48"/>
      <c r="P90" s="35"/>
      <c r="Q90" s="35"/>
      <c r="R90" s="35"/>
      <c r="S90" s="227"/>
      <c r="T90" t="str">
        <f t="shared" si="313"/>
        <v/>
      </c>
      <c r="U90" s="35"/>
      <c r="V90" s="35"/>
      <c r="W90" s="35"/>
      <c r="X90" s="35"/>
      <c r="Y90" s="157"/>
      <c r="Z90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                                                                         </v>
      </c>
      <c r="AA90" s="160" t="str">
        <f t="shared" si="284"/>
        <v/>
      </c>
      <c r="AB90" s="161" t="str">
        <f t="shared" si="231"/>
        <v>Payload, Sophisticated</v>
      </c>
      <c r="AC90" s="160" t="str">
        <f t="shared" si="282"/>
        <v xml:space="preserve">         </v>
      </c>
      <c r="AD90" s="160" t="str">
        <f t="shared" si="289"/>
        <v xml:space="preserve">            </v>
      </c>
      <c r="AE90" s="162" t="str">
        <f t="shared" si="232"/>
        <v/>
      </c>
      <c r="AF90" s="160" t="str">
        <f t="shared" si="290"/>
        <v xml:space="preserve">           </v>
      </c>
      <c r="AG90" s="161" t="str">
        <f t="shared" si="233"/>
        <v>0</v>
      </c>
      <c r="AH90" s="160" t="str">
        <f t="shared" si="327"/>
        <v xml:space="preserve">           </v>
      </c>
      <c r="AI90" s="163" t="str">
        <f t="shared" si="234"/>
        <v>0</v>
      </c>
      <c r="AJ90" s="160" t="str">
        <f t="shared" si="283"/>
        <v xml:space="preserve">      </v>
      </c>
      <c r="AK90" s="163" t="str">
        <f t="shared" si="287"/>
        <v/>
      </c>
      <c r="AL90" s="163"/>
      <c r="AM90" s="153"/>
      <c r="AN90" s="153"/>
      <c r="AO90" s="153"/>
      <c r="AP90" s="153"/>
      <c r="AR90" s="31"/>
      <c r="AS90">
        <v>0</v>
      </c>
      <c r="CM90" t="s">
        <v>404</v>
      </c>
      <c r="DL90">
        <f ca="1" xml:space="preserve"> IF( $AV90=Tables!$C$189, 5, RANDBETWEEN(1,6)+RANDBETWEEN(1,6)-2 )</f>
        <v>7</v>
      </c>
      <c r="DM90">
        <f ca="1" xml:space="preserve"> IF( $AV90=Tables!$C$189, 0, RANDBETWEEN(1,6)-RANDBETWEEN(1,6)+ VLOOKUP( $AS90, Tables!$A$184:$Q$193,  14 ) )</f>
        <v>2</v>
      </c>
      <c r="DN90">
        <f ca="1" xml:space="preserve"> IF( $AV90=Tables!$C$189, 0, RANDBETWEEN(1,6)-RANDBETWEEN(1,6)+ VLOOKUP( $AS90, Tables!$A$184:$Q$193,  15 ) )</f>
        <v>-4</v>
      </c>
      <c r="DO90">
        <f ca="1" xml:space="preserve"> IF( $AV90=Tables!$C$189, 0, RANDBETWEEN(1,6)-RANDBETWEEN(1,6)+ VLOOKUP( $AS90, Tables!$A$184:$Q$193,  16 ) )</f>
        <v>1</v>
      </c>
      <c r="DP90">
        <f ca="1" xml:space="preserve"> IF( $AV90=Tables!$C$189, 0, RANDBETWEEN(1,6)-RANDBETWEEN(1,6)+ VLOOKUP( $AS90, Tables!$A$184:$Q$193,  17 ) )</f>
        <v>-1</v>
      </c>
      <c r="DQ90" s="44" t="str">
        <f ca="1" xml:space="preserve"> VLOOKUP( $DL90,Tables!$B$2:$C$36,2)</f>
        <v>7</v>
      </c>
      <c r="DR90" t="str">
        <f t="shared" ca="1" si="365"/>
        <v xml:space="preserve"> 2</v>
      </c>
      <c r="DS90" t="str">
        <f t="shared" ca="1" si="366"/>
        <v>-4</v>
      </c>
      <c r="DT90" t="str">
        <f t="shared" ca="1" si="367"/>
        <v xml:space="preserve"> 1</v>
      </c>
      <c r="DU90" t="str">
        <f t="shared" ca="1" si="368"/>
        <v>-1</v>
      </c>
      <c r="DW90" s="194">
        <f xml:space="preserve"> SUM( DX$4:DX90, -DX90 )</f>
        <v>0</v>
      </c>
      <c r="DX90" s="194">
        <v>0</v>
      </c>
      <c r="DY90" s="194">
        <f xml:space="preserve"> SUM( DZ$4:DZ90, -DZ90 )</f>
        <v>13</v>
      </c>
      <c r="DZ90" s="194">
        <v>0</v>
      </c>
      <c r="EA90" s="194">
        <f xml:space="preserve"> SUM( EB$4:EB90, -EB90 )</f>
        <v>12</v>
      </c>
      <c r="EB90" s="194">
        <v>0</v>
      </c>
      <c r="EC90" s="194">
        <f xml:space="preserve"> SUM( ED$4:ED90, -ED90 )</f>
        <v>0</v>
      </c>
      <c r="ED90" s="194">
        <f>K90</f>
        <v>0</v>
      </c>
      <c r="EE90" s="194">
        <f xml:space="preserve"> SUM( EF$4:EF90, -EF90 )</f>
        <v>2.1</v>
      </c>
      <c r="EF90" s="194">
        <v>0</v>
      </c>
      <c r="EG90" s="194">
        <f xml:space="preserve"> SUM( EH$4:EH90, -EH90 )</f>
        <v>0</v>
      </c>
      <c r="EH90" s="194">
        <v>0</v>
      </c>
      <c r="EI90" s="194">
        <f xml:space="preserve"> SUM( EJ$4:EJ90, -EJ90 )</f>
        <v>0</v>
      </c>
      <c r="EJ90" s="194">
        <v>0</v>
      </c>
      <c r="EK90" s="194">
        <f xml:space="preserve"> SUM( EL$4:EL90, -EL90 )</f>
        <v>0</v>
      </c>
      <c r="EL90" s="194">
        <v>0</v>
      </c>
      <c r="EM90" s="194">
        <f xml:space="preserve"> SUM( EN$4:EN90, -EN90 )</f>
        <v>0</v>
      </c>
      <c r="EN90" s="194">
        <v>0</v>
      </c>
      <c r="EO90" s="194">
        <f xml:space="preserve"> SUM( EP$4:EP90, -EP90 )</f>
        <v>0</v>
      </c>
      <c r="EP90" s="194">
        <v>0</v>
      </c>
      <c r="EQ90" s="194">
        <f xml:space="preserve"> SUM( ER$4:ER90, -ER90 )</f>
        <v>24</v>
      </c>
      <c r="ER90" s="194">
        <v>0</v>
      </c>
      <c r="ES90" s="194">
        <f xml:space="preserve"> SUM( ET$4:ET90, -ET90 )</f>
        <v>0</v>
      </c>
      <c r="ET90" s="194">
        <v>0</v>
      </c>
      <c r="EU90" s="194">
        <f xml:space="preserve"> SUM( EV$4:EV90, -EV90 )</f>
        <v>10</v>
      </c>
      <c r="EV90" s="194">
        <v>0</v>
      </c>
      <c r="EW90" s="194">
        <f xml:space="preserve"> SUM( EX$4:EX90, -EX90 )</f>
        <v>6</v>
      </c>
      <c r="EX90" s="194">
        <v>0</v>
      </c>
      <c r="EZ90" t="str">
        <f t="shared" si="312"/>
        <v>Payload, Sophisticated</v>
      </c>
      <c r="FB90" s="237">
        <f xml:space="preserve"> SUM( FC$4:FC90, -FC90 )</f>
        <v>4</v>
      </c>
      <c r="FC90" s="237">
        <v>0</v>
      </c>
      <c r="FD90" s="237">
        <f xml:space="preserve"> SUM( FE$4:FE90, -FE90 )</f>
        <v>1</v>
      </c>
      <c r="FE90" s="237">
        <v>0</v>
      </c>
      <c r="FF90" t="str">
        <f t="shared" si="288"/>
        <v>Payload, Sophisticated</v>
      </c>
    </row>
    <row r="91" spans="1:162">
      <c r="C91" s="15"/>
      <c r="D91" s="15"/>
      <c r="E91" s="66"/>
      <c r="F91" s="66"/>
      <c r="G91" s="48"/>
      <c r="H91" s="28"/>
      <c r="I91" s="4"/>
      <c r="J91" s="48"/>
      <c r="K91" s="51"/>
      <c r="L91" s="51"/>
      <c r="M91" s="48"/>
      <c r="N91" s="48"/>
      <c r="O91" s="48"/>
      <c r="P91" s="35"/>
      <c r="Q91" s="35"/>
      <c r="R91" s="35"/>
      <c r="S91" s="227"/>
      <c r="T91" t="str">
        <f t="shared" si="313"/>
        <v/>
      </c>
      <c r="U91" s="35"/>
      <c r="V91" s="35"/>
      <c r="W91" s="35"/>
      <c r="X91" s="35"/>
      <c r="Y91" s="157"/>
      <c r="Z91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                                                                         </v>
      </c>
      <c r="AA91" s="160" t="str">
        <f xml:space="preserve"> IF( OR(SUM(K87:K91)&gt;0), CONCATENATE( newline &amp; AB91 &amp; AC91 &amp; AD91 &amp; AE91 &amp; AF91 &amp; AG91 &amp; AH91 &amp; AI91 &amp; AJ91 &amp; AK91 ), "" )</f>
        <v/>
      </c>
      <c r="AB91" s="161" t="str">
        <f t="shared" si="231"/>
        <v/>
      </c>
      <c r="AC91" s="160" t="str">
        <f t="shared" si="282"/>
        <v xml:space="preserve">                               </v>
      </c>
      <c r="AD91" s="160" t="str">
        <f t="shared" si="289"/>
        <v xml:space="preserve">            </v>
      </c>
      <c r="AE91" s="162" t="str">
        <f t="shared" si="232"/>
        <v/>
      </c>
      <c r="AF91" s="160" t="str">
        <f t="shared" si="290"/>
        <v xml:space="preserve">            </v>
      </c>
      <c r="AG91" s="161" t="str">
        <f t="shared" si="233"/>
        <v/>
      </c>
      <c r="AH91" s="160" t="str">
        <f t="shared" si="327"/>
        <v xml:space="preserve">            </v>
      </c>
      <c r="AI91" s="163" t="str">
        <f t="shared" si="234"/>
        <v/>
      </c>
      <c r="AJ91" s="160" t="str">
        <f t="shared" si="283"/>
        <v xml:space="preserve">      </v>
      </c>
      <c r="AK91" s="163" t="str">
        <f t="shared" si="287"/>
        <v/>
      </c>
      <c r="AL91" s="163"/>
      <c r="AM91" s="153"/>
      <c r="AN91" s="153"/>
      <c r="AO91" s="153"/>
      <c r="AP91" s="153"/>
      <c r="AR91" s="31"/>
      <c r="AS91">
        <v>0</v>
      </c>
      <c r="CM91" t="s">
        <v>405</v>
      </c>
      <c r="DL91"/>
      <c r="DQ91" s="44"/>
      <c r="DW91" s="194">
        <f xml:space="preserve"> SUM( DX$4:DX91, -DX91 )</f>
        <v>0</v>
      </c>
      <c r="DX91" s="194">
        <v>0</v>
      </c>
      <c r="DY91" s="194">
        <f xml:space="preserve"> SUM( DZ$4:DZ91, -DZ91 )</f>
        <v>13</v>
      </c>
      <c r="DZ91" s="194">
        <v>0</v>
      </c>
      <c r="EA91" s="194">
        <f xml:space="preserve"> SUM( EB$4:EB91, -EB91 )</f>
        <v>12</v>
      </c>
      <c r="EB91" s="194">
        <v>0</v>
      </c>
      <c r="EC91" s="194">
        <f xml:space="preserve"> SUM( ED$4:ED91, -ED91 )</f>
        <v>0</v>
      </c>
      <c r="ED91" s="194">
        <v>0</v>
      </c>
      <c r="EE91" s="194">
        <f xml:space="preserve"> SUM( EF$4:EF91, -EF91 )</f>
        <v>2.1</v>
      </c>
      <c r="EF91" s="194">
        <v>0</v>
      </c>
      <c r="EG91" s="194">
        <f xml:space="preserve"> SUM( EH$4:EH91, -EH91 )</f>
        <v>0</v>
      </c>
      <c r="EH91" s="194">
        <v>0</v>
      </c>
      <c r="EI91" s="194">
        <f xml:space="preserve"> SUM( EJ$4:EJ91, -EJ91 )</f>
        <v>0</v>
      </c>
      <c r="EJ91" s="194">
        <v>0</v>
      </c>
      <c r="EK91" s="194">
        <f xml:space="preserve"> SUM( EL$4:EL91, -EL91 )</f>
        <v>0</v>
      </c>
      <c r="EL91" s="194">
        <v>0</v>
      </c>
      <c r="EM91" s="194">
        <f xml:space="preserve"> SUM( EN$4:EN91, -EN91 )</f>
        <v>0</v>
      </c>
      <c r="EN91" s="194">
        <v>0</v>
      </c>
      <c r="EO91" s="194">
        <f xml:space="preserve"> SUM( EP$4:EP91, -EP91 )</f>
        <v>0</v>
      </c>
      <c r="EP91" s="194">
        <v>0</v>
      </c>
      <c r="EQ91" s="194">
        <f xml:space="preserve"> SUM( ER$4:ER91, -ER91 )</f>
        <v>24</v>
      </c>
      <c r="ER91" s="194">
        <v>0</v>
      </c>
      <c r="ES91" s="194">
        <f xml:space="preserve"> SUM( ET$4:ET91, -ET91 )</f>
        <v>0</v>
      </c>
      <c r="ET91" s="194">
        <v>0</v>
      </c>
      <c r="EU91" s="194">
        <f xml:space="preserve"> SUM( EV$4:EV91, -EV91 )</f>
        <v>10</v>
      </c>
      <c r="EV91" s="194">
        <v>0</v>
      </c>
      <c r="EW91" s="194">
        <f xml:space="preserve"> SUM( EX$4:EX91, -EX91 )</f>
        <v>6</v>
      </c>
      <c r="EX91" s="194">
        <v>0</v>
      </c>
      <c r="EZ91">
        <f t="shared" si="312"/>
        <v>0</v>
      </c>
      <c r="FB91" s="237">
        <f xml:space="preserve"> SUM( FC$4:FC91, -FC91 )</f>
        <v>4</v>
      </c>
      <c r="FC91" s="237">
        <v>0</v>
      </c>
      <c r="FD91" s="237">
        <f xml:space="preserve"> SUM( FE$4:FE91, -FE91 )</f>
        <v>1</v>
      </c>
      <c r="FE91" s="237">
        <v>0</v>
      </c>
      <c r="FF91">
        <f t="shared" si="288"/>
        <v>0</v>
      </c>
    </row>
    <row r="92" spans="1:162">
      <c r="A92" t="s">
        <v>504</v>
      </c>
      <c r="C92" s="15"/>
      <c r="D92" s="15"/>
      <c r="E92" s="66"/>
      <c r="F92" s="66"/>
      <c r="G92" s="20">
        <v>2</v>
      </c>
      <c r="H92" s="28"/>
      <c r="I92" s="4"/>
      <c r="J92" s="48">
        <f xml:space="preserve"> MAX( G92, ROUNDDOWN( Hull/100, 0 ) )</f>
        <v>2</v>
      </c>
      <c r="K92" s="51">
        <f xml:space="preserve"> ROUND( MAX( 0, J92 - ROUNDDOWN( Hull / 100, 0 ) ) * 0.5, 2 )</f>
        <v>0.5</v>
      </c>
      <c r="L92" s="51">
        <f>K92 / 0.5 * 0.1</f>
        <v>0.1</v>
      </c>
      <c r="M92" s="48"/>
      <c r="N92" s="48"/>
      <c r="O92" s="48"/>
      <c r="P92" s="35"/>
      <c r="Q92" s="35"/>
      <c r="R92" s="35"/>
      <c r="S92" s="227"/>
      <c r="T92" t="str">
        <f ca="1" xml:space="preserve"> IF( J92&gt;0, CONCATENATE( DQ92, DR92, DS92, DT92, DU92 ), "" )</f>
        <v>3-2-1-3 3</v>
      </c>
      <c r="U92" s="35"/>
      <c r="V92" s="35"/>
      <c r="W92" s="35"/>
      <c r="X92" s="35"/>
      <c r="Y92" s="157"/>
      <c r="Z92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</v>
      </c>
      <c r="AA92" s="160" t="str">
        <f t="shared" si="284"/>
        <v xml:space="preserve">
Standard Air Lock                         2         0,5         0,1      </v>
      </c>
      <c r="AB92" s="161" t="str">
        <f t="shared" si="231"/>
        <v>Standard Air Lock</v>
      </c>
      <c r="AC92" s="160" t="str">
        <f t="shared" si="282"/>
        <v xml:space="preserve">              </v>
      </c>
      <c r="AD92" s="160" t="str">
        <f t="shared" si="289"/>
        <v xml:space="preserve">           </v>
      </c>
      <c r="AE92" s="162" t="str">
        <f t="shared" si="232"/>
        <v>2</v>
      </c>
      <c r="AF92" s="160" t="str">
        <f t="shared" si="290"/>
        <v xml:space="preserve">         </v>
      </c>
      <c r="AG92" s="161" t="str">
        <f t="shared" si="233"/>
        <v>0,5</v>
      </c>
      <c r="AH92" s="160" t="str">
        <f t="shared" si="327"/>
        <v xml:space="preserve">         </v>
      </c>
      <c r="AI92" s="163" t="str">
        <f t="shared" si="234"/>
        <v>0,1</v>
      </c>
      <c r="AJ92" s="160" t="str">
        <f t="shared" si="283"/>
        <v xml:space="preserve">      </v>
      </c>
      <c r="AK92" s="163" t="str">
        <f t="shared" si="287"/>
        <v/>
      </c>
      <c r="AL92" s="163"/>
      <c r="AM92" s="153"/>
      <c r="AN92" s="153"/>
      <c r="AO92" s="153"/>
      <c r="AP92" s="153"/>
      <c r="AR92" s="31"/>
      <c r="AS92">
        <v>0</v>
      </c>
      <c r="CM92" t="s">
        <v>466</v>
      </c>
      <c r="DL92">
        <f ca="1" xml:space="preserve"> IF( $AV92=Tables!$C$189, 5, RANDBETWEEN(1,6)+RANDBETWEEN(1,6)-2 )</f>
        <v>3</v>
      </c>
      <c r="DM92">
        <f ca="1" xml:space="preserve"> IF( $AV92=Tables!$C$189, 0, RANDBETWEEN(1,6)-RANDBETWEEN(1,6)+ VLOOKUP( $AS92, Tables!$A$184:$Q$193,  14 ) )</f>
        <v>-2</v>
      </c>
      <c r="DN92">
        <f ca="1" xml:space="preserve"> IF( $AV92=Tables!$C$189, 0, RANDBETWEEN(1,6)-RANDBETWEEN(1,6)+ VLOOKUP( $AS92, Tables!$A$184:$Q$193,  15 ) )</f>
        <v>-1</v>
      </c>
      <c r="DO92">
        <f ca="1" xml:space="preserve"> IF( $AV92=Tables!$C$189, 0, RANDBETWEEN(1,6)-RANDBETWEEN(1,6)+ VLOOKUP( $AS92, Tables!$A$184:$Q$193,  16 ) )</f>
        <v>-3</v>
      </c>
      <c r="DP92">
        <f ca="1" xml:space="preserve"> IF( $AV92=Tables!$C$189, 0, RANDBETWEEN(1,6)-RANDBETWEEN(1,6)+ VLOOKUP( $AS92, Tables!$A$184:$Q$193,  17 ) )</f>
        <v>3</v>
      </c>
      <c r="DQ92" s="44" t="str">
        <f ca="1" xml:space="preserve"> VLOOKUP( $DL92,Tables!$B$2:$C$36,2)</f>
        <v>3</v>
      </c>
      <c r="DR92" t="str">
        <f t="shared" ca="1" si="365"/>
        <v>-2</v>
      </c>
      <c r="DS92" t="str">
        <f t="shared" ca="1" si="366"/>
        <v>-1</v>
      </c>
      <c r="DT92" t="str">
        <f t="shared" ca="1" si="367"/>
        <v>-3</v>
      </c>
      <c r="DU92" t="str">
        <f t="shared" ca="1" si="368"/>
        <v xml:space="preserve"> 3</v>
      </c>
      <c r="DW92" s="194">
        <f xml:space="preserve"> SUM( DX$4:DX92, -DX92 )</f>
        <v>0</v>
      </c>
      <c r="DX92" s="194">
        <v>0</v>
      </c>
      <c r="DY92" s="194">
        <f xml:space="preserve"> SUM( DZ$4:DZ92, -DZ92 )</f>
        <v>13</v>
      </c>
      <c r="DZ92" s="194">
        <v>0</v>
      </c>
      <c r="EA92" s="194">
        <f xml:space="preserve"> SUM( EB$4:EB92, -EB92 )</f>
        <v>12</v>
      </c>
      <c r="EB92" s="194">
        <v>0</v>
      </c>
      <c r="EC92" s="194">
        <f xml:space="preserve"> SUM( ED$4:ED92, -ED92 )</f>
        <v>0</v>
      </c>
      <c r="ED92" s="194">
        <v>0</v>
      </c>
      <c r="EE92" s="194">
        <f xml:space="preserve"> SUM( EF$4:EF92, -EF92 )</f>
        <v>2.1</v>
      </c>
      <c r="EF92" s="194">
        <f t="shared" ref="EF92:EF93" si="369">K92</f>
        <v>0.5</v>
      </c>
      <c r="EG92" s="194">
        <f xml:space="preserve"> SUM( EH$4:EH92, -EH92 )</f>
        <v>0</v>
      </c>
      <c r="EH92" s="194">
        <v>0</v>
      </c>
      <c r="EI92" s="194">
        <f xml:space="preserve"> SUM( EJ$4:EJ92, -EJ92 )</f>
        <v>0</v>
      </c>
      <c r="EJ92" s="194">
        <v>0</v>
      </c>
      <c r="EK92" s="194">
        <f xml:space="preserve"> SUM( EL$4:EL92, -EL92 )</f>
        <v>0</v>
      </c>
      <c r="EL92" s="194">
        <v>0</v>
      </c>
      <c r="EM92" s="194">
        <f xml:space="preserve"> SUM( EN$4:EN92, -EN92 )</f>
        <v>0</v>
      </c>
      <c r="EN92" s="194">
        <v>0</v>
      </c>
      <c r="EO92" s="194">
        <f xml:space="preserve"> SUM( EP$4:EP92, -EP92 )</f>
        <v>0</v>
      </c>
      <c r="EP92" s="194">
        <v>0</v>
      </c>
      <c r="EQ92" s="194">
        <f xml:space="preserve"> SUM( ER$4:ER92, -ER92 )</f>
        <v>24</v>
      </c>
      <c r="ER92" s="194">
        <v>0</v>
      </c>
      <c r="ES92" s="194">
        <f xml:space="preserve"> SUM( ET$4:ET92, -ET92 )</f>
        <v>0</v>
      </c>
      <c r="ET92" s="194">
        <v>0</v>
      </c>
      <c r="EU92" s="194">
        <f xml:space="preserve"> SUM( EV$4:EV92, -EV92 )</f>
        <v>10</v>
      </c>
      <c r="EV92" s="194">
        <v>0</v>
      </c>
      <c r="EW92" s="194">
        <f xml:space="preserve"> SUM( EX$4:EX92, -EX92 )</f>
        <v>6</v>
      </c>
      <c r="EX92" s="194">
        <v>0</v>
      </c>
      <c r="EZ92" t="str">
        <f t="shared" si="312"/>
        <v>Standard Air Lock</v>
      </c>
      <c r="FB92" s="237">
        <f xml:space="preserve"> SUM( FC$4:FC92, -FC92 )</f>
        <v>4</v>
      </c>
      <c r="FC92" s="237">
        <v>0</v>
      </c>
      <c r="FD92" s="237">
        <f xml:space="preserve"> SUM( FE$4:FE92, -FE92 )</f>
        <v>1</v>
      </c>
      <c r="FE92" s="237">
        <v>0</v>
      </c>
      <c r="FF92" t="str">
        <f t="shared" si="288"/>
        <v>Standard Air Lock</v>
      </c>
    </row>
    <row r="93" spans="1:162">
      <c r="A93" t="s">
        <v>273</v>
      </c>
      <c r="C93" s="15"/>
      <c r="D93" s="32">
        <v>0</v>
      </c>
      <c r="E93" s="66"/>
      <c r="F93" s="66"/>
      <c r="G93" s="27">
        <v>0</v>
      </c>
      <c r="H93" s="28"/>
      <c r="I93" s="4">
        <f>G93</f>
        <v>0</v>
      </c>
      <c r="J93" s="48"/>
      <c r="K93" s="51">
        <f>G93*D93</f>
        <v>0</v>
      </c>
      <c r="L93" s="51">
        <f>K93*0.2</f>
        <v>0</v>
      </c>
      <c r="M93" s="48"/>
      <c r="N93" s="48"/>
      <c r="O93" s="48"/>
      <c r="P93" s="35"/>
      <c r="Q93" s="35"/>
      <c r="R93" s="35"/>
      <c r="S93" s="227"/>
      <c r="T93" t="str">
        <f xml:space="preserve"> IF( K93&gt;0, CONCATENATE( DQ93, DR93, DS93, DT93, DU93 ), "" )</f>
        <v/>
      </c>
      <c r="U93" s="35"/>
      <c r="V93" s="35"/>
      <c r="W93" s="35"/>
      <c r="X93" s="35"/>
      <c r="Y93" s="157"/>
      <c r="Z93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</v>
      </c>
      <c r="AA93" s="160" t="str">
        <f t="shared" si="284"/>
        <v/>
      </c>
      <c r="AB93" s="161" t="str">
        <f t="shared" si="231"/>
        <v>Custom Air Lock</v>
      </c>
      <c r="AC93" s="160" t="str">
        <f t="shared" si="282"/>
        <v xml:space="preserve">                </v>
      </c>
      <c r="AD93" s="160" t="str">
        <f t="shared" si="289"/>
        <v xml:space="preserve">            </v>
      </c>
      <c r="AE93" s="162" t="str">
        <f t="shared" si="232"/>
        <v/>
      </c>
      <c r="AF93" s="160" t="str">
        <f t="shared" si="290"/>
        <v xml:space="preserve">           </v>
      </c>
      <c r="AG93" s="161" t="str">
        <f t="shared" si="233"/>
        <v>0</v>
      </c>
      <c r="AH93" s="160" t="str">
        <f t="shared" si="327"/>
        <v xml:space="preserve">           </v>
      </c>
      <c r="AI93" s="163" t="str">
        <f t="shared" si="234"/>
        <v>0</v>
      </c>
      <c r="AJ93" s="160" t="str">
        <f t="shared" si="283"/>
        <v xml:space="preserve">      </v>
      </c>
      <c r="AK93" s="163" t="str">
        <f t="shared" si="287"/>
        <v/>
      </c>
      <c r="AL93" s="163"/>
      <c r="AM93" s="153"/>
      <c r="AN93" s="153"/>
      <c r="AO93" s="153"/>
      <c r="AP93" s="153"/>
      <c r="AR93" s="31"/>
      <c r="AS93">
        <v>0</v>
      </c>
      <c r="DL93">
        <f ca="1" xml:space="preserve"> IF( $AV93=Tables!$C$189, 5, RANDBETWEEN(1,6)+RANDBETWEEN(1,6)-2 )</f>
        <v>7</v>
      </c>
      <c r="DM93">
        <f ca="1" xml:space="preserve"> IF( $AV93=Tables!$C$189, 0, RANDBETWEEN(1,6)-RANDBETWEEN(1,6)+ VLOOKUP( $AS93, Tables!$A$184:$Q$193,  14 ) )</f>
        <v>-3</v>
      </c>
      <c r="DN93">
        <f ca="1" xml:space="preserve"> IF( $AV93=Tables!$C$189, 0, RANDBETWEEN(1,6)-RANDBETWEEN(1,6)+ VLOOKUP( $AS93, Tables!$A$184:$Q$193,  15 ) )</f>
        <v>-1</v>
      </c>
      <c r="DO93">
        <f ca="1" xml:space="preserve"> IF( $AV93=Tables!$C$189, 0, RANDBETWEEN(1,6)-RANDBETWEEN(1,6)+ VLOOKUP( $AS93, Tables!$A$184:$Q$193,  16 ) )</f>
        <v>0</v>
      </c>
      <c r="DP93">
        <f ca="1" xml:space="preserve"> IF( $AV93=Tables!$C$189, 0, RANDBETWEEN(1,6)-RANDBETWEEN(1,6)+ VLOOKUP( $AS93, Tables!$A$184:$Q$193,  17 ) )</f>
        <v>-1</v>
      </c>
      <c r="DQ93" s="44" t="str">
        <f ca="1" xml:space="preserve"> VLOOKUP( $DL93,Tables!$B$2:$C$36,2)</f>
        <v>7</v>
      </c>
      <c r="DR93" t="str">
        <f t="shared" ca="1" si="365"/>
        <v>-3</v>
      </c>
      <c r="DS93" t="str">
        <f t="shared" ca="1" si="366"/>
        <v>-1</v>
      </c>
      <c r="DT93" t="str">
        <f t="shared" ca="1" si="367"/>
        <v xml:space="preserve"> 0</v>
      </c>
      <c r="DU93" t="str">
        <f t="shared" ca="1" si="368"/>
        <v>-1</v>
      </c>
      <c r="DW93" s="194">
        <f xml:space="preserve"> SUM( DX$4:DX93, -DX93 )</f>
        <v>0</v>
      </c>
      <c r="DX93" s="194">
        <v>0</v>
      </c>
      <c r="DY93" s="194">
        <f xml:space="preserve"> SUM( DZ$4:DZ93, -DZ93 )</f>
        <v>13</v>
      </c>
      <c r="DZ93" s="194">
        <v>0</v>
      </c>
      <c r="EA93" s="194">
        <f xml:space="preserve"> SUM( EB$4:EB93, -EB93 )</f>
        <v>12</v>
      </c>
      <c r="EB93" s="194">
        <v>0</v>
      </c>
      <c r="EC93" s="194">
        <f xml:space="preserve"> SUM( ED$4:ED93, -ED93 )</f>
        <v>0</v>
      </c>
      <c r="ED93" s="194">
        <v>0</v>
      </c>
      <c r="EE93" s="194">
        <f xml:space="preserve"> SUM( EF$4:EF93, -EF93 )</f>
        <v>2.6</v>
      </c>
      <c r="EF93" s="194">
        <f t="shared" si="369"/>
        <v>0</v>
      </c>
      <c r="EG93" s="194">
        <f xml:space="preserve"> SUM( EH$4:EH93, -EH93 )</f>
        <v>0</v>
      </c>
      <c r="EH93" s="194">
        <v>0</v>
      </c>
      <c r="EI93" s="194">
        <f xml:space="preserve"> SUM( EJ$4:EJ93, -EJ93 )</f>
        <v>0</v>
      </c>
      <c r="EJ93" s="194">
        <v>0</v>
      </c>
      <c r="EK93" s="194">
        <f xml:space="preserve"> SUM( EL$4:EL93, -EL93 )</f>
        <v>0</v>
      </c>
      <c r="EL93" s="194">
        <v>0</v>
      </c>
      <c r="EM93" s="194">
        <f xml:space="preserve"> SUM( EN$4:EN93, -EN93 )</f>
        <v>0</v>
      </c>
      <c r="EN93" s="194">
        <v>0</v>
      </c>
      <c r="EO93" s="194">
        <f xml:space="preserve"> SUM( EP$4:EP93, -EP93 )</f>
        <v>0</v>
      </c>
      <c r="EP93" s="194">
        <v>0</v>
      </c>
      <c r="EQ93" s="194">
        <f xml:space="preserve"> SUM( ER$4:ER93, -ER93 )</f>
        <v>24</v>
      </c>
      <c r="ER93" s="194">
        <v>0</v>
      </c>
      <c r="ES93" s="194">
        <f xml:space="preserve"> SUM( ET$4:ET93, -ET93 )</f>
        <v>0</v>
      </c>
      <c r="ET93" s="194">
        <v>0</v>
      </c>
      <c r="EU93" s="194">
        <f xml:space="preserve"> SUM( EV$4:EV93, -EV93 )</f>
        <v>10</v>
      </c>
      <c r="EV93" s="194">
        <v>0</v>
      </c>
      <c r="EW93" s="194">
        <f xml:space="preserve"> SUM( EX$4:EX93, -EX93 )</f>
        <v>6</v>
      </c>
      <c r="EX93" s="194">
        <v>0</v>
      </c>
      <c r="EZ93" t="str">
        <f t="shared" si="312"/>
        <v>Custom Air Lock</v>
      </c>
      <c r="FB93" s="237">
        <f xml:space="preserve"> SUM( FC$4:FC93, -FC93 )</f>
        <v>4</v>
      </c>
      <c r="FC93" s="237">
        <v>0</v>
      </c>
      <c r="FD93" s="237">
        <f xml:space="preserve"> SUM( FE$4:FE93, -FE93 )</f>
        <v>1</v>
      </c>
      <c r="FE93" s="237">
        <v>0</v>
      </c>
      <c r="FF93" t="str">
        <f t="shared" si="288"/>
        <v>Custom Air Lock</v>
      </c>
    </row>
    <row r="94" spans="1:162">
      <c r="C94" s="66" t="s">
        <v>708</v>
      </c>
      <c r="D94" s="1" t="s">
        <v>687</v>
      </c>
      <c r="E94" s="66"/>
      <c r="F94" s="66"/>
      <c r="G94" s="48"/>
      <c r="H94" s="28"/>
      <c r="I94" s="4"/>
      <c r="J94" s="21"/>
      <c r="K94" s="51"/>
      <c r="L94" s="51"/>
      <c r="M94" s="21"/>
      <c r="N94" s="48"/>
      <c r="O94" s="21"/>
      <c r="S94" s="223"/>
      <c r="T94" t="str">
        <f xml:space="preserve"> IF( K94&gt;0, CONCATENATE( DQ94, DR94, DS94, DT94, DU94 ), "" )</f>
        <v/>
      </c>
      <c r="Z94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                                                                         </v>
      </c>
      <c r="AA94" s="160" t="str">
        <f xml:space="preserve"> IF( OR(TRUE), CONCATENATE( newline &amp; AB94 &amp; AC94 &amp; AD94 &amp; AE94 &amp; AF94 &amp; AG94 &amp; AH94 &amp; AI94 &amp; AJ94 &amp; AK94 ), "" )</f>
        <v xml:space="preserve">
                                                                         </v>
      </c>
      <c r="AB94" s="161" t="str">
        <f t="shared" si="231"/>
        <v/>
      </c>
      <c r="AC94" s="160" t="str">
        <f t="shared" si="282"/>
        <v xml:space="preserve">                               </v>
      </c>
      <c r="AD94" s="160" t="str">
        <f t="shared" si="289"/>
        <v xml:space="preserve">            </v>
      </c>
      <c r="AE94" s="162" t="str">
        <f t="shared" si="232"/>
        <v/>
      </c>
      <c r="AF94" s="160" t="str">
        <f t="shared" si="290"/>
        <v xml:space="preserve">            </v>
      </c>
      <c r="AG94" s="161" t="str">
        <f t="shared" si="233"/>
        <v/>
      </c>
      <c r="AH94" s="160" t="str">
        <f t="shared" si="327"/>
        <v xml:space="preserve">            </v>
      </c>
      <c r="AI94" s="163" t="str">
        <f t="shared" si="234"/>
        <v/>
      </c>
      <c r="AJ94" s="160" t="str">
        <f t="shared" si="283"/>
        <v xml:space="preserve">      </v>
      </c>
      <c r="AK94" s="163" t="str">
        <f t="shared" si="287"/>
        <v/>
      </c>
      <c r="AL94" s="163"/>
      <c r="AM94" s="153"/>
      <c r="AN94" s="153"/>
      <c r="AO94" s="153"/>
      <c r="AP94" s="153"/>
      <c r="AR94" s="31"/>
      <c r="DL94"/>
      <c r="DQ94" s="44"/>
      <c r="DW94" s="194">
        <f xml:space="preserve"> SUM( DX$4:DX94, -DX94 )</f>
        <v>0</v>
      </c>
      <c r="DX94" s="194">
        <v>0</v>
      </c>
      <c r="DY94" s="194">
        <f xml:space="preserve"> SUM( DZ$4:DZ94, -DZ94 )</f>
        <v>13</v>
      </c>
      <c r="DZ94" s="194">
        <v>0</v>
      </c>
      <c r="EA94" s="194">
        <f xml:space="preserve"> SUM( EB$4:EB94, -EB94 )</f>
        <v>12</v>
      </c>
      <c r="EB94" s="194">
        <v>0</v>
      </c>
      <c r="EC94" s="194">
        <f xml:space="preserve"> SUM( ED$4:ED94, -ED94 )</f>
        <v>0</v>
      </c>
      <c r="ED94" s="194">
        <v>0</v>
      </c>
      <c r="EE94" s="194">
        <f xml:space="preserve"> SUM( EF$4:EF94, -EF94 )</f>
        <v>2.6</v>
      </c>
      <c r="EF94" s="194">
        <v>0</v>
      </c>
      <c r="EG94" s="194">
        <f xml:space="preserve"> SUM( EH$4:EH94, -EH94 )</f>
        <v>0</v>
      </c>
      <c r="EH94" s="194">
        <v>0</v>
      </c>
      <c r="EI94" s="194">
        <f xml:space="preserve"> SUM( EJ$4:EJ94, -EJ94 )</f>
        <v>0</v>
      </c>
      <c r="EJ94" s="194">
        <v>0</v>
      </c>
      <c r="EK94" s="194">
        <f xml:space="preserve"> SUM( EL$4:EL94, -EL94 )</f>
        <v>0</v>
      </c>
      <c r="EL94" s="194">
        <v>0</v>
      </c>
      <c r="EM94" s="194">
        <f xml:space="preserve"> SUM( EN$4:EN94, -EN94 )</f>
        <v>0</v>
      </c>
      <c r="EN94" s="194">
        <v>0</v>
      </c>
      <c r="EO94" s="194">
        <f xml:space="preserve"> SUM( EP$4:EP94, -EP94 )</f>
        <v>0</v>
      </c>
      <c r="EP94" s="194">
        <v>0</v>
      </c>
      <c r="EQ94" s="194">
        <f xml:space="preserve"> SUM( ER$4:ER94, -ER94 )</f>
        <v>24</v>
      </c>
      <c r="ER94" s="194">
        <v>0</v>
      </c>
      <c r="ES94" s="194">
        <f xml:space="preserve"> SUM( ET$4:ET94, -ET94 )</f>
        <v>0</v>
      </c>
      <c r="ET94" s="194">
        <v>0</v>
      </c>
      <c r="EU94" s="194">
        <f xml:space="preserve"> SUM( EV$4:EV94, -EV94 )</f>
        <v>10</v>
      </c>
      <c r="EV94" s="194">
        <v>0</v>
      </c>
      <c r="EW94" s="194">
        <f xml:space="preserve"> SUM( EX$4:EX94, -EX94 )</f>
        <v>6</v>
      </c>
      <c r="EX94" s="194">
        <v>0</v>
      </c>
      <c r="EZ94">
        <f t="shared" si="312"/>
        <v>0</v>
      </c>
      <c r="FB94" s="237">
        <f xml:space="preserve"> SUM( FC$4:FC94, -FC94 )</f>
        <v>4</v>
      </c>
      <c r="FC94" s="237">
        <v>0</v>
      </c>
      <c r="FD94" s="237">
        <f xml:space="preserve"> SUM( FE$4:FE94, -FE94 )</f>
        <v>1</v>
      </c>
      <c r="FE94" s="237">
        <v>0</v>
      </c>
      <c r="FF94">
        <f t="shared" si="288"/>
        <v>0</v>
      </c>
    </row>
    <row r="95" spans="1:162">
      <c r="A95" t="s">
        <v>562</v>
      </c>
      <c r="C95" s="198">
        <f xml:space="preserve"> Hull - SUM( $K$5:$K$94, $K$96:$K$122 ) + IFERROR($BR$14,0) + IFERROR($BR$15,0)</f>
        <v>31.400000000000006</v>
      </c>
      <c r="D95" s="201">
        <f xml:space="preserve"> - 5 * (Military&gt;1) * 0</f>
        <v>0</v>
      </c>
      <c r="E95" s="66"/>
      <c r="F95" s="66"/>
      <c r="G95" s="200">
        <v>-1</v>
      </c>
      <c r="H95" s="26"/>
      <c r="I95" s="4"/>
      <c r="J95" s="3"/>
      <c r="K95" s="51">
        <f xml:space="preserve"> ROUNDDOWN( IF( G95&lt;0, MAX(0,C95+(D95&lt;&gt;0)*(D95 - IFERROR($BR$14,0) - IFERROR($BR$15,0))), G95 ), 2 )</f>
        <v>31.4</v>
      </c>
      <c r="L95" s="51"/>
      <c r="M95" s="3"/>
      <c r="N95" s="48"/>
      <c r="O95" s="3"/>
      <c r="S95" s="223"/>
      <c r="Z95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</v>
      </c>
      <c r="AA95" s="160" t="str">
        <f t="shared" si="284"/>
        <v xml:space="preserve">
Cargo                                              31,4                  </v>
      </c>
      <c r="AB95" s="161" t="str">
        <f t="shared" si="231"/>
        <v>Cargo</v>
      </c>
      <c r="AC95" s="160" t="str">
        <f t="shared" si="282"/>
        <v xml:space="preserve">                          </v>
      </c>
      <c r="AD95" s="160" t="str">
        <f t="shared" si="289"/>
        <v xml:space="preserve">            </v>
      </c>
      <c r="AE95" s="162" t="str">
        <f t="shared" si="232"/>
        <v/>
      </c>
      <c r="AF95" s="160" t="str">
        <f t="shared" si="290"/>
        <v xml:space="preserve">        </v>
      </c>
      <c r="AG95" s="161" t="str">
        <f t="shared" si="233"/>
        <v>31,4</v>
      </c>
      <c r="AH95" s="160" t="str">
        <f t="shared" si="327"/>
        <v xml:space="preserve">            </v>
      </c>
      <c r="AI95" s="163" t="str">
        <f t="shared" si="234"/>
        <v/>
      </c>
      <c r="AJ95" s="160" t="str">
        <f t="shared" si="283"/>
        <v xml:space="preserve">      </v>
      </c>
      <c r="AK95" s="163" t="str">
        <f t="shared" si="287"/>
        <v/>
      </c>
      <c r="AL95" s="163"/>
      <c r="AM95" s="153"/>
      <c r="AN95" s="153"/>
      <c r="AO95" s="153"/>
      <c r="AP95" s="153"/>
      <c r="AR95" s="194">
        <f xml:space="preserve"> Hull - SUM( K5:K94, K97:K122 )</f>
        <v>32.400000000000006</v>
      </c>
      <c r="DL95"/>
      <c r="DQ95" s="44"/>
      <c r="DW95" s="194">
        <f xml:space="preserve"> SUM( DX$4:DX95, -DX95 )</f>
        <v>0</v>
      </c>
      <c r="DX95" s="194">
        <v>0</v>
      </c>
      <c r="DY95" s="194">
        <f xml:space="preserve"> SUM( DZ$4:DZ95, -DZ95 )</f>
        <v>13</v>
      </c>
      <c r="DZ95" s="194">
        <v>0</v>
      </c>
      <c r="EA95" s="194">
        <f xml:space="preserve"> SUM( EB$4:EB95, -EB95 )</f>
        <v>12</v>
      </c>
      <c r="EB95" s="194">
        <v>0</v>
      </c>
      <c r="EC95" s="194">
        <f xml:space="preserve"> SUM( ED$4:ED95, -ED95 )</f>
        <v>0</v>
      </c>
      <c r="ED95" s="194">
        <v>0</v>
      </c>
      <c r="EE95" s="194">
        <f xml:space="preserve"> SUM( EF$4:EF95, -EF95 )</f>
        <v>2.6</v>
      </c>
      <c r="EF95" s="194">
        <v>0</v>
      </c>
      <c r="EG95" s="194">
        <f xml:space="preserve"> SUM( EH$4:EH95, -EH95 )</f>
        <v>0</v>
      </c>
      <c r="EH95" s="194">
        <v>0</v>
      </c>
      <c r="EI95" s="194">
        <f xml:space="preserve"> SUM( EJ$4:EJ95, -EJ95 )</f>
        <v>0</v>
      </c>
      <c r="EJ95" s="194">
        <f xml:space="preserve"> K95</f>
        <v>31.4</v>
      </c>
      <c r="EK95" s="194">
        <f xml:space="preserve"> SUM( EL$4:EL95, -EL95 )</f>
        <v>0</v>
      </c>
      <c r="EL95" s="194">
        <v>0</v>
      </c>
      <c r="EM95" s="194">
        <f xml:space="preserve"> SUM( EN$4:EN95, -EN95 )</f>
        <v>0</v>
      </c>
      <c r="EN95" s="194">
        <v>0</v>
      </c>
      <c r="EO95" s="194">
        <f xml:space="preserve"> SUM( EP$4:EP95, -EP95 )</f>
        <v>0</v>
      </c>
      <c r="EP95" s="194">
        <v>0</v>
      </c>
      <c r="EQ95" s="194">
        <f xml:space="preserve"> SUM( ER$4:ER95, -ER95 )</f>
        <v>24</v>
      </c>
      <c r="ER95" s="194">
        <v>0</v>
      </c>
      <c r="ES95" s="194">
        <f xml:space="preserve"> SUM( ET$4:ET95, -ET95 )</f>
        <v>0</v>
      </c>
      <c r="ET95" s="194">
        <v>0</v>
      </c>
      <c r="EU95" s="194">
        <f xml:space="preserve"> SUM( EV$4:EV95, -EV95 )</f>
        <v>10</v>
      </c>
      <c r="EV95" s="194">
        <v>0</v>
      </c>
      <c r="EW95" s="194">
        <f xml:space="preserve"> SUM( EX$4:EX95, -EX95 )</f>
        <v>6</v>
      </c>
      <c r="EX95" s="194">
        <v>0</v>
      </c>
      <c r="EZ95" t="str">
        <f t="shared" si="312"/>
        <v>Cargo</v>
      </c>
      <c r="FB95" s="237">
        <f xml:space="preserve"> SUM( FC$4:FC95, -FC95 )</f>
        <v>4</v>
      </c>
      <c r="FC95" s="237">
        <v>0</v>
      </c>
      <c r="FD95" s="237">
        <f xml:space="preserve"> SUM( FE$4:FE95, -FE95 )</f>
        <v>1</v>
      </c>
      <c r="FE95" s="237">
        <v>0</v>
      </c>
      <c r="FF95" t="str">
        <f t="shared" si="288"/>
        <v>Cargo</v>
      </c>
    </row>
    <row r="96" spans="1:162">
      <c r="A96" t="s">
        <v>808</v>
      </c>
      <c r="C96" s="198" t="s">
        <v>809</v>
      </c>
      <c r="D96" s="258"/>
      <c r="E96" s="258"/>
      <c r="F96" s="258"/>
      <c r="G96" s="27">
        <f xml:space="preserve"> MAX( 0, ROUNDDOWN( Hull/100 - SUM(K99:K108), 0 ) * (Military&lt;=0) )</f>
        <v>1</v>
      </c>
      <c r="H96" s="237"/>
      <c r="I96" s="4"/>
      <c r="J96" s="191"/>
      <c r="K96" s="194">
        <f xml:space="preserve"> G96 * (G96&gt;0)</f>
        <v>1</v>
      </c>
      <c r="L96" s="194"/>
      <c r="M96" s="191"/>
      <c r="N96" s="191"/>
      <c r="O96" s="191"/>
      <c r="S96" s="223"/>
      <c r="Z96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</v>
      </c>
      <c r="AA96" s="160" t="str">
        <f t="shared" ref="AA96" si="370" xml:space="preserve"> IF( OR(J96&lt;&gt;0,K96&lt;&gt;0,L96&lt;&gt;0), CONCATENATE( newline &amp; AB96 &amp; AC96 &amp; AD96 &amp; AE96 &amp; AF96 &amp; AG96 &amp; AH96 &amp; AI96 &amp; AJ96 &amp; AK96 ), "" )</f>
        <v xml:space="preserve">
Spare Space                                           1                  </v>
      </c>
      <c r="AB96" s="161" t="str">
        <f t="shared" ref="AB96" si="371" xml:space="preserve"> CONCATENATE( A96 )</f>
        <v>Spare Space</v>
      </c>
      <c r="AC96" s="160" t="str">
        <f t="shared" ref="AC96" si="372" xml:space="preserve"> CONCATENATE( REPT(" ",MAX(0,31-LEN(AB96))) )</f>
        <v xml:space="preserve">                    </v>
      </c>
      <c r="AD96" s="160" t="str">
        <f t="shared" ref="AD96" si="373" xml:space="preserve"> CONCATENATE( REPT(" ",MAX(0,12-LEN(AE96))) )</f>
        <v xml:space="preserve">            </v>
      </c>
      <c r="AE96" s="162" t="str">
        <f t="shared" ref="AE96" si="374" xml:space="preserve"> CONCATENATE( J96 )</f>
        <v/>
      </c>
      <c r="AF96" s="160" t="str">
        <f t="shared" ref="AF96" si="375" xml:space="preserve"> CONCATENATE( REPT(" ",MAX(0,12-LEN(AG96))) )</f>
        <v xml:space="preserve">           </v>
      </c>
      <c r="AG96" s="161" t="str">
        <f t="shared" ref="AG96" si="376" xml:space="preserve"> CONCATENATE( K96 )</f>
        <v>1</v>
      </c>
      <c r="AH96" s="160" t="str">
        <f t="shared" ref="AH96" si="377" xml:space="preserve"> CONCATENATE( REPT(" ",MAX(0,12-LEN(AI96))) )</f>
        <v xml:space="preserve">            </v>
      </c>
      <c r="AI96" s="163" t="str">
        <f t="shared" ref="AI96" si="378" xml:space="preserve"> CONCATENATE( L96 )</f>
        <v/>
      </c>
      <c r="AJ96" s="160" t="str">
        <f t="shared" ref="AJ96" si="379" xml:space="preserve"> CONCATENATE( REPT(" ",MAX(0,6-LEN(AK96))) )</f>
        <v xml:space="preserve">      </v>
      </c>
      <c r="AK96" s="163" t="str">
        <f t="shared" ref="AK96" si="380" xml:space="preserve"> IF( AND(S96&gt;0,S96&lt;&gt;TL), CONCATENATE( "TL" &amp; S96  ), "" )</f>
        <v/>
      </c>
      <c r="AL96" s="163"/>
      <c r="AM96" s="153"/>
      <c r="AN96" s="153"/>
      <c r="AO96" s="153"/>
      <c r="AP96" s="153"/>
      <c r="AR96" s="194">
        <f xml:space="preserve"> Hull - SUM( K6:K95, K98:K123 )</f>
        <v>1</v>
      </c>
      <c r="DL96"/>
      <c r="DQ96" s="44"/>
      <c r="DW96" s="194">
        <f xml:space="preserve"> SUM( DX$4:DX96, -DX96 )</f>
        <v>0</v>
      </c>
      <c r="DX96" s="194">
        <v>0</v>
      </c>
      <c r="DY96" s="194">
        <f xml:space="preserve"> SUM( DZ$4:DZ96, -DZ96 )</f>
        <v>13</v>
      </c>
      <c r="DZ96" s="194">
        <v>0</v>
      </c>
      <c r="EA96" s="194">
        <f xml:space="preserve"> SUM( EB$4:EB96, -EB96 )</f>
        <v>12</v>
      </c>
      <c r="EB96" s="194">
        <v>0</v>
      </c>
      <c r="EC96" s="194">
        <f xml:space="preserve"> SUM( ED$4:ED96, -ED96 )</f>
        <v>0</v>
      </c>
      <c r="ED96" s="194">
        <v>0</v>
      </c>
      <c r="EE96" s="194">
        <f xml:space="preserve"> SUM( EF$4:EF96, -EF96 )</f>
        <v>2.6</v>
      </c>
      <c r="EF96" s="194">
        <v>0</v>
      </c>
      <c r="EG96" s="194">
        <f xml:space="preserve"> SUM( EH$4:EH96, -EH96 )</f>
        <v>0</v>
      </c>
      <c r="EH96" s="194">
        <v>0</v>
      </c>
      <c r="EI96" s="194">
        <f xml:space="preserve"> SUM( EJ$4:EJ96, -EJ96 )</f>
        <v>31.4</v>
      </c>
      <c r="EJ96" s="194">
        <f xml:space="preserve"> K96</f>
        <v>1</v>
      </c>
      <c r="EK96" s="194">
        <f xml:space="preserve"> SUM( EL$4:EL96, -EL96 )</f>
        <v>0</v>
      </c>
      <c r="EL96" s="194">
        <v>0</v>
      </c>
      <c r="EM96" s="194">
        <f xml:space="preserve"> SUM( EN$4:EN96, -EN96 )</f>
        <v>0</v>
      </c>
      <c r="EN96" s="194">
        <v>0</v>
      </c>
      <c r="EO96" s="194">
        <f xml:space="preserve"> SUM( EP$4:EP96, -EP96 )</f>
        <v>0</v>
      </c>
      <c r="EP96" s="194">
        <v>0</v>
      </c>
      <c r="EQ96" s="194">
        <f xml:space="preserve"> SUM( ER$4:ER96, -ER96 )</f>
        <v>24</v>
      </c>
      <c r="ER96" s="194">
        <v>0</v>
      </c>
      <c r="ES96" s="194">
        <f xml:space="preserve"> SUM( ET$4:ET96, -ET96 )</f>
        <v>0</v>
      </c>
      <c r="ET96" s="194">
        <v>0</v>
      </c>
      <c r="EU96" s="194">
        <f xml:space="preserve"> SUM( EV$4:EV96, -EV96 )</f>
        <v>10</v>
      </c>
      <c r="EV96" s="194">
        <v>0</v>
      </c>
      <c r="EW96" s="194">
        <f xml:space="preserve"> SUM( EX$4:EX96, -EX96 )</f>
        <v>6</v>
      </c>
      <c r="EX96" s="194">
        <v>0</v>
      </c>
      <c r="EZ96" t="str">
        <f t="shared" ref="EZ96" si="381">A96</f>
        <v>Spare Space</v>
      </c>
      <c r="FB96" s="237">
        <f xml:space="preserve"> SUM( FC$4:FC96, -FC96 )</f>
        <v>4</v>
      </c>
      <c r="FC96" s="237">
        <v>0</v>
      </c>
      <c r="FD96" s="237">
        <f xml:space="preserve"> SUM( FE$4:FE96, -FE96 )</f>
        <v>1</v>
      </c>
      <c r="FE96" s="237">
        <v>0</v>
      </c>
      <c r="FF96" t="str">
        <f t="shared" ref="FF96" si="382">EZ96</f>
        <v>Spare Space</v>
      </c>
    </row>
    <row r="97" spans="1:162">
      <c r="G97" s="3"/>
      <c r="H97" s="26"/>
      <c r="I97" s="4"/>
      <c r="J97" s="48"/>
      <c r="K97" s="51"/>
      <c r="L97" s="51"/>
      <c r="M97" s="48"/>
      <c r="N97" s="48"/>
      <c r="O97" s="3"/>
      <c r="S97" s="223"/>
      <c r="Z97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97" s="160" t="str">
        <f xml:space="preserve"> IF( OR(TRUE), CONCATENATE( newline &amp; AB97 &amp; AC97 &amp; AD97 &amp; AE97 &amp; AF97 &amp; AG97 &amp; AH97 &amp; AI97 &amp; AJ97 &amp; AK97 ), "" )</f>
        <v xml:space="preserve">
                                                                         </v>
      </c>
      <c r="AB97" s="161" t="str">
        <f t="shared" si="231"/>
        <v/>
      </c>
      <c r="AC97" s="160" t="str">
        <f t="shared" si="282"/>
        <v xml:space="preserve">                               </v>
      </c>
      <c r="AD97" s="160" t="str">
        <f t="shared" si="289"/>
        <v xml:space="preserve">            </v>
      </c>
      <c r="AE97" s="162" t="str">
        <f t="shared" si="232"/>
        <v/>
      </c>
      <c r="AF97" s="160" t="str">
        <f t="shared" si="290"/>
        <v xml:space="preserve">            </v>
      </c>
      <c r="AG97" s="161" t="str">
        <f t="shared" si="233"/>
        <v/>
      </c>
      <c r="AH97" s="160" t="str">
        <f t="shared" si="327"/>
        <v xml:space="preserve">            </v>
      </c>
      <c r="AI97" s="163" t="str">
        <f t="shared" si="234"/>
        <v/>
      </c>
      <c r="AJ97" s="160" t="str">
        <f t="shared" si="283"/>
        <v xml:space="preserve">      </v>
      </c>
      <c r="AK97" s="163" t="str">
        <f t="shared" si="287"/>
        <v/>
      </c>
      <c r="AL97" s="163"/>
      <c r="AM97" s="153"/>
      <c r="AN97" s="153"/>
      <c r="AO97" s="153"/>
      <c r="AP97" s="153"/>
      <c r="CF97" s="1" t="s">
        <v>490</v>
      </c>
      <c r="CJ97" s="1" t="s">
        <v>19</v>
      </c>
      <c r="DF97" t="s">
        <v>973</v>
      </c>
      <c r="DL97"/>
      <c r="DQ97" s="44"/>
      <c r="DW97" s="194">
        <f xml:space="preserve"> SUM( DX$4:DX97, -DX97 )</f>
        <v>0</v>
      </c>
      <c r="DX97" s="194">
        <v>0</v>
      </c>
      <c r="DY97" s="194">
        <f xml:space="preserve"> SUM( DZ$4:DZ97, -DZ97 )</f>
        <v>13</v>
      </c>
      <c r="DZ97" s="194">
        <v>0</v>
      </c>
      <c r="EA97" s="194">
        <f xml:space="preserve"> SUM( EB$4:EB97, -EB97 )</f>
        <v>12</v>
      </c>
      <c r="EB97" s="194">
        <v>0</v>
      </c>
      <c r="EC97" s="194">
        <f xml:space="preserve"> SUM( ED$4:ED97, -ED97 )</f>
        <v>0</v>
      </c>
      <c r="ED97" s="194">
        <v>0</v>
      </c>
      <c r="EE97" s="194">
        <f xml:space="preserve"> SUM( EF$4:EF97, -EF97 )</f>
        <v>2.6</v>
      </c>
      <c r="EF97" s="194">
        <v>0</v>
      </c>
      <c r="EG97" s="194">
        <f xml:space="preserve"> SUM( EH$4:EH97, -EH97 )</f>
        <v>0</v>
      </c>
      <c r="EH97" s="194">
        <v>0</v>
      </c>
      <c r="EI97" s="194">
        <f xml:space="preserve"> SUM( EJ$4:EJ97, -EJ97 )</f>
        <v>32.4</v>
      </c>
      <c r="EJ97" s="194">
        <v>0</v>
      </c>
      <c r="EK97" s="194">
        <f xml:space="preserve"> SUM( EL$4:EL97, -EL97 )</f>
        <v>0</v>
      </c>
      <c r="EL97" s="194">
        <v>0</v>
      </c>
      <c r="EM97" s="194">
        <f xml:space="preserve"> SUM( EN$4:EN97, -EN97 )</f>
        <v>0</v>
      </c>
      <c r="EN97" s="194">
        <v>0</v>
      </c>
      <c r="EO97" s="194">
        <f xml:space="preserve"> SUM( EP$4:EP97, -EP97 )</f>
        <v>0</v>
      </c>
      <c r="EP97" s="194">
        <v>0</v>
      </c>
      <c r="EQ97" s="194">
        <f xml:space="preserve"> SUM( ER$4:ER97, -ER97 )</f>
        <v>24</v>
      </c>
      <c r="ER97" s="194">
        <v>0</v>
      </c>
      <c r="ES97" s="194">
        <f xml:space="preserve"> SUM( ET$4:ET97, -ET97 )</f>
        <v>0</v>
      </c>
      <c r="ET97" s="194">
        <v>0</v>
      </c>
      <c r="EU97" s="194">
        <f xml:space="preserve"> SUM( EV$4:EV97, -EV97 )</f>
        <v>10</v>
      </c>
      <c r="EV97" s="194">
        <v>0</v>
      </c>
      <c r="EW97" s="194">
        <f xml:space="preserve"> SUM( EX$4:EX97, -EX97 )</f>
        <v>6</v>
      </c>
      <c r="EX97" s="194">
        <v>0</v>
      </c>
      <c r="EZ97">
        <f t="shared" si="312"/>
        <v>0</v>
      </c>
      <c r="FB97" s="237">
        <f xml:space="preserve"> SUM( FC$4:FC97, -FC97 )</f>
        <v>4</v>
      </c>
      <c r="FC97" s="237">
        <v>0</v>
      </c>
      <c r="FD97" s="237">
        <f xml:space="preserve"> SUM( FE$4:FE97, -FE97 )</f>
        <v>1</v>
      </c>
      <c r="FE97" s="237">
        <v>0</v>
      </c>
      <c r="FF97">
        <f t="shared" si="288"/>
        <v>0</v>
      </c>
    </row>
    <row r="98" spans="1:162">
      <c r="A98" s="54" t="s">
        <v>905</v>
      </c>
      <c r="B98" t="s">
        <v>179</v>
      </c>
      <c r="C98" s="66" t="s">
        <v>464</v>
      </c>
      <c r="D98" s="66" t="s">
        <v>1147</v>
      </c>
      <c r="E98" s="66" t="s">
        <v>267</v>
      </c>
      <c r="F98" s="66" t="s">
        <v>122</v>
      </c>
      <c r="G98" s="1" t="s">
        <v>1114</v>
      </c>
      <c r="H98" s="28" t="s">
        <v>179</v>
      </c>
      <c r="I98" s="70" t="s">
        <v>80</v>
      </c>
      <c r="J98" s="48"/>
      <c r="K98" s="51"/>
      <c r="L98" s="51"/>
      <c r="M98" s="48"/>
      <c r="N98" s="48"/>
      <c r="O98" s="44" t="s">
        <v>734</v>
      </c>
      <c r="P98" s="66" t="s">
        <v>217</v>
      </c>
      <c r="Q98" s="44"/>
      <c r="R98" s="44"/>
      <c r="S98" s="223"/>
      <c r="T98" s="44"/>
      <c r="U98" s="44"/>
      <c r="V98" s="44"/>
      <c r="W98" s="44"/>
      <c r="X98" s="44"/>
      <c r="Y98" s="155"/>
      <c r="Z98" s="160" t="str">
        <f t="shared" si="281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98" s="160" t="str">
        <f xml:space="preserve"> IF( OR(SUM(L98:L109)&gt;0), CONCATENATE( newline &amp; AB98 &amp; AC98 &amp; AD98 &amp; AE98 &amp; AF98 &amp; AG98 &amp; AH98 &amp; AI98 &amp; AJ98 &amp; AK98 ), "" )</f>
        <v/>
      </c>
      <c r="AB98" s="161" t="str">
        <f t="shared" si="231"/>
        <v>Weapons</v>
      </c>
      <c r="AC98" s="160" t="str">
        <f t="shared" si="282"/>
        <v xml:space="preserve">                        </v>
      </c>
      <c r="AD98" s="160" t="str">
        <f t="shared" si="289"/>
        <v xml:space="preserve">            </v>
      </c>
      <c r="AE98" s="162" t="str">
        <f t="shared" si="232"/>
        <v/>
      </c>
      <c r="AF98" s="160" t="str">
        <f t="shared" si="290"/>
        <v xml:space="preserve">            </v>
      </c>
      <c r="AG98" s="161" t="str">
        <f t="shared" si="233"/>
        <v/>
      </c>
      <c r="AH98" s="160" t="str">
        <f t="shared" si="327"/>
        <v xml:space="preserve">            </v>
      </c>
      <c r="AI98" s="163" t="str">
        <f t="shared" si="234"/>
        <v/>
      </c>
      <c r="AJ98" s="160" t="str">
        <f t="shared" si="283"/>
        <v xml:space="preserve">      </v>
      </c>
      <c r="AK98" s="163" t="str">
        <f t="shared" si="287"/>
        <v/>
      </c>
      <c r="AL98" s="163"/>
      <c r="AM98" s="153"/>
      <c r="AN98" s="153"/>
      <c r="AO98" s="153"/>
      <c r="AP98" s="153"/>
      <c r="AQ98" s="1" t="s">
        <v>865</v>
      </c>
      <c r="AR98" s="18" t="s">
        <v>949</v>
      </c>
      <c r="AS98" t="s">
        <v>397</v>
      </c>
      <c r="BE98" t="s">
        <v>643</v>
      </c>
      <c r="BF98" s="1" t="s">
        <v>227</v>
      </c>
      <c r="BG98" s="1" t="s">
        <v>931</v>
      </c>
      <c r="BH98" s="1" t="s">
        <v>865</v>
      </c>
      <c r="BI98" s="1" t="s">
        <v>1045</v>
      </c>
      <c r="BJ98" s="1" t="s">
        <v>78</v>
      </c>
      <c r="BK98" s="1" t="s">
        <v>37</v>
      </c>
      <c r="BL98" s="1" t="s">
        <v>671</v>
      </c>
      <c r="BM98" s="1"/>
      <c r="BN98" s="1" t="s">
        <v>852</v>
      </c>
      <c r="BO98" s="1" t="s">
        <v>492</v>
      </c>
      <c r="BP98" s="1" t="s">
        <v>854</v>
      </c>
      <c r="BQ98" s="1" t="s">
        <v>869</v>
      </c>
      <c r="BR98" s="1" t="s">
        <v>56</v>
      </c>
      <c r="BS98" s="1" t="s">
        <v>949</v>
      </c>
      <c r="BT98" s="1" t="s">
        <v>241</v>
      </c>
      <c r="BU98" s="1" t="s">
        <v>78</v>
      </c>
      <c r="BV98" s="1"/>
      <c r="BW98" s="1" t="s">
        <v>227</v>
      </c>
      <c r="BX98" s="1" t="s">
        <v>400</v>
      </c>
      <c r="BY98" s="1" t="s">
        <v>743</v>
      </c>
      <c r="BZ98" s="1" t="s">
        <v>269</v>
      </c>
      <c r="CA98" s="1" t="s">
        <v>483</v>
      </c>
      <c r="CB98" s="1" t="s">
        <v>869</v>
      </c>
      <c r="CC98" s="1" t="s">
        <v>56</v>
      </c>
      <c r="CD98" s="1" t="s">
        <v>9</v>
      </c>
      <c r="CE98" s="1" t="str">
        <f>"+Size"</f>
        <v>+Size</v>
      </c>
      <c r="CF98" s="1" t="str">
        <f>"+Cost"</f>
        <v>+Cost</v>
      </c>
      <c r="CG98" s="1" t="s">
        <v>980</v>
      </c>
      <c r="CI98" s="1" t="str">
        <f>"+Size"</f>
        <v>+Size</v>
      </c>
      <c r="CJ98" s="1" t="str">
        <f>"+Cost"</f>
        <v>+Cost</v>
      </c>
      <c r="CK98" s="1" t="s">
        <v>980</v>
      </c>
      <c r="CM98" s="94" t="s">
        <v>160</v>
      </c>
      <c r="CN98" s="94" t="s">
        <v>701</v>
      </c>
      <c r="CO98" s="112">
        <v>4</v>
      </c>
      <c r="CP98" s="112">
        <v>5</v>
      </c>
      <c r="CQ98" s="112">
        <v>6</v>
      </c>
      <c r="CR98" s="112">
        <v>7</v>
      </c>
      <c r="CS98" s="112">
        <v>8</v>
      </c>
      <c r="CT98" s="112">
        <v>9</v>
      </c>
      <c r="CU98" s="112">
        <v>10</v>
      </c>
      <c r="CV98" s="112">
        <v>11</v>
      </c>
      <c r="CW98" s="112">
        <v>12</v>
      </c>
      <c r="CX98" s="1" t="s">
        <v>662</v>
      </c>
      <c r="CY98" s="113" t="s">
        <v>527</v>
      </c>
      <c r="CZ98" s="113" t="s">
        <v>414</v>
      </c>
      <c r="DA98" s="113" t="s">
        <v>413</v>
      </c>
      <c r="DB98" s="94" t="s">
        <v>679</v>
      </c>
      <c r="DD98" s="113" t="s">
        <v>98</v>
      </c>
      <c r="DE98" s="114">
        <v>-2</v>
      </c>
      <c r="DF98" s="114">
        <v>-1</v>
      </c>
      <c r="DG98" s="114">
        <v>0</v>
      </c>
      <c r="DH98" s="114">
        <v>1</v>
      </c>
      <c r="DI98" s="114">
        <v>2</v>
      </c>
      <c r="DJ98" s="114">
        <v>3</v>
      </c>
      <c r="DL98"/>
      <c r="DQ98" s="44"/>
      <c r="DW98" s="194">
        <f xml:space="preserve"> SUM( DX$4:DX98, -DX98 )</f>
        <v>0</v>
      </c>
      <c r="DX98" s="194">
        <v>0</v>
      </c>
      <c r="DY98" s="194">
        <f xml:space="preserve"> SUM( DZ$4:DZ98, -DZ98 )</f>
        <v>13</v>
      </c>
      <c r="DZ98" s="194">
        <v>0</v>
      </c>
      <c r="EA98" s="194">
        <f xml:space="preserve"> SUM( EB$4:EB98, -EB98 )</f>
        <v>12</v>
      </c>
      <c r="EB98" s="194">
        <v>0</v>
      </c>
      <c r="EC98" s="194">
        <f xml:space="preserve"> SUM( ED$4:ED98, -ED98 )</f>
        <v>0</v>
      </c>
      <c r="ED98" s="194">
        <v>0</v>
      </c>
      <c r="EE98" s="194">
        <f xml:space="preserve"> SUM( EF$4:EF98, -EF98 )</f>
        <v>2.6</v>
      </c>
      <c r="EF98" s="194">
        <v>0</v>
      </c>
      <c r="EG98" s="194">
        <f xml:space="preserve"> SUM( EH$4:EH98, -EH98 )</f>
        <v>0</v>
      </c>
      <c r="EH98" s="194">
        <v>0</v>
      </c>
      <c r="EI98" s="194">
        <f xml:space="preserve"> SUM( EJ$4:EJ98, -EJ98 )</f>
        <v>32.4</v>
      </c>
      <c r="EJ98" s="194">
        <v>0</v>
      </c>
      <c r="EK98" s="194">
        <f xml:space="preserve"> SUM( EL$4:EL98, -EL98 )</f>
        <v>0</v>
      </c>
      <c r="EL98" s="194">
        <v>0</v>
      </c>
      <c r="EM98" s="194">
        <f xml:space="preserve"> SUM( EN$4:EN98, -EN98 )</f>
        <v>0</v>
      </c>
      <c r="EN98" s="194">
        <v>0</v>
      </c>
      <c r="EO98" s="194">
        <f xml:space="preserve"> SUM( EP$4:EP98, -EP98 )</f>
        <v>0</v>
      </c>
      <c r="EP98" s="194">
        <v>0</v>
      </c>
      <c r="EQ98" s="194">
        <f xml:space="preserve"> SUM( ER$4:ER98, -ER98 )</f>
        <v>24</v>
      </c>
      <c r="ER98" s="194">
        <v>0</v>
      </c>
      <c r="ES98" s="194">
        <f xml:space="preserve"> SUM( ET$4:ET98, -ET98 )</f>
        <v>0</v>
      </c>
      <c r="ET98" s="194">
        <v>0</v>
      </c>
      <c r="EU98" s="194">
        <f xml:space="preserve"> SUM( EV$4:EV98, -EV98 )</f>
        <v>10</v>
      </c>
      <c r="EV98" s="194">
        <v>0</v>
      </c>
      <c r="EW98" s="194">
        <f xml:space="preserve"> SUM( EX$4:EX98, -EX98 )</f>
        <v>6</v>
      </c>
      <c r="EX98" s="194">
        <v>0</v>
      </c>
      <c r="EZ98" t="str">
        <f t="shared" si="312"/>
        <v>Weapons</v>
      </c>
      <c r="FB98" s="237">
        <f xml:space="preserve"> SUM( FC$4:FC98, -FC98 )</f>
        <v>4</v>
      </c>
      <c r="FC98" s="237">
        <v>0</v>
      </c>
      <c r="FD98" s="237">
        <f xml:space="preserve"> SUM( FE$4:FE98, -FE98 )</f>
        <v>1</v>
      </c>
      <c r="FE98" s="237">
        <v>0</v>
      </c>
      <c r="FF98" t="str">
        <f t="shared" si="288"/>
        <v>Weapons</v>
      </c>
    </row>
    <row r="99" spans="1:162">
      <c r="A99" s="71" t="s">
        <v>407</v>
      </c>
      <c r="B99" s="8" t="str">
        <f>AV99</f>
        <v>Std</v>
      </c>
      <c r="C99" s="63" t="str">
        <f>CN99</f>
        <v>Barbette, Double</v>
      </c>
      <c r="D99" s="63" t="str">
        <f xml:space="preserve"> IF( $A99=Tables!$A$470, $DG99, $DB99 )</f>
        <v>Rng±0, TL±0</v>
      </c>
      <c r="E99" s="81">
        <v>0</v>
      </c>
      <c r="F99" s="82">
        <v>0</v>
      </c>
      <c r="G99" s="20">
        <f xml:space="preserve"> (Military&gt;1) * ROUNDDOWN( (M4*3+N4-SUM(M100:M109)*3-SUM(N100:N109))/3,0)</f>
        <v>0</v>
      </c>
      <c r="H99" s="221">
        <f xml:space="preserve"> MIN( ($G99&gt;0) * ( 0.5*($CD99&gt;0) + 1.5*($CD99&gt;=2) + 4*(Military&gt;1) ), 9-7*($A99=Tables!$A$470) )</f>
        <v>0</v>
      </c>
      <c r="I99" s="72">
        <f t="shared" ref="I99:I104" si="383">BF99 + BW99 + AW99</f>
        <v>11</v>
      </c>
      <c r="J99" s="73">
        <f xml:space="preserve"> IF( I99&gt;$S99, -1*(G99&gt;0),  G99  )</f>
        <v>0</v>
      </c>
      <c r="K99" s="51">
        <f xml:space="preserve"> ROUND(  J99 * ( (BQ99+CE99+CI99) * CB99 ),  2  )</f>
        <v>0</v>
      </c>
      <c r="L99" s="51">
        <f xml:space="preserve"> ROUND(  J99 * ( BI99 * AY99 + (BR99+CF99+CJ99) * CC99 ) * ( 1 + 0.1*($S99=TL+1) ),  2  )</f>
        <v>0</v>
      </c>
      <c r="M99" s="48">
        <f t="shared" ref="M99:M105" si="384">J99*BT99*(K99/MAX(1,J99)&gt;=1)</f>
        <v>0</v>
      </c>
      <c r="N99" s="48">
        <f t="shared" ref="N99:N105" si="385">J99*BT99*(K99/MAX(1,J99)&lt;1)</f>
        <v>0</v>
      </c>
      <c r="O99" s="204" t="str">
        <f t="shared" ref="O99:O108" si="386" xml:space="preserve"> IF( J99&gt;0,  IF( BK99&lt;0, "invalid", IF( BH99&lt;10, CONCATENATE("R=",AQ99), CONCATENATE("S=",AQ99-5) ) ), "" )</f>
        <v/>
      </c>
      <c r="P99" s="196" t="str">
        <f t="shared" ref="P99:P105" si="387">IF(  J99&gt;0,  CONCATENATE( IF(AS99&lt;&gt;0,CONCATENATE(AV99," "),""), BA99, " ", BP99, " ", IF(CE99&gt;0,"Ext ",""), IF(CI99&gt;0,"De ",""), LEFT(A99,4), "-", MAX($S99,I99), " ", IF(AR99&gt;0,"+",IF(AR99=0,"±","")), AR99, " H:", BJ99, " Def", IF(BN99&gt;0,"+",IF(BN99=0,"±","")), BN99), ""  )</f>
        <v/>
      </c>
      <c r="S99" s="223">
        <f t="shared" ref="S99:S105" si="388" xml:space="preserve"> TL</f>
        <v>12</v>
      </c>
      <c r="T99" t="str">
        <f t="shared" ref="T99:T105" si="389" xml:space="preserve"> IF( L99&gt;0, CONCATENATE( DQ99, DR99, DS99, DT99, DU99 ), "" )</f>
        <v/>
      </c>
      <c r="Z99" s="160" t="str">
        <f t="shared" ref="Z99:Z130" si="390" xml:space="preserve"> CONCATENATE( INDEX($Z$1:$Z$144,ROW(Z99)-1),AA99 )</f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99" s="160" t="str">
        <f t="shared" ref="AA99:AA108" si="391" xml:space="preserve"> IF( OR(J99&lt;&gt;0,K99&lt;&gt;0,L99&lt;&gt;0), CONCATENATE( newline &amp; AB99 &amp; AC99 &amp; AD99 &amp; AE99 &amp; AF99 &amp; AG99 &amp; AH99 &amp; AI99 &amp; AJ99 &amp; AK99 ), "" )</f>
        <v/>
      </c>
      <c r="AB99" s="161" t="str">
        <f xml:space="preserve"> CONCATENATE( LEFT(P99,31) )</f>
        <v/>
      </c>
      <c r="AC99" s="160" t="str">
        <f t="shared" si="282"/>
        <v xml:space="preserve">                               </v>
      </c>
      <c r="AD99" s="160" t="str">
        <f t="shared" si="289"/>
        <v xml:space="preserve">           </v>
      </c>
      <c r="AE99" s="162" t="str">
        <f t="shared" si="232"/>
        <v>0</v>
      </c>
      <c r="AF99" s="160" t="str">
        <f t="shared" si="290"/>
        <v xml:space="preserve">           </v>
      </c>
      <c r="AG99" s="161" t="str">
        <f t="shared" si="233"/>
        <v>0</v>
      </c>
      <c r="AH99" s="160" t="str">
        <f t="shared" si="327"/>
        <v xml:space="preserve">           </v>
      </c>
      <c r="AI99" s="163" t="str">
        <f t="shared" si="234"/>
        <v>0</v>
      </c>
      <c r="AJ99" s="160" t="str">
        <f t="shared" si="283"/>
        <v xml:space="preserve">      </v>
      </c>
      <c r="AK99" s="163" t="str">
        <f t="shared" si="287"/>
        <v/>
      </c>
      <c r="AL99" s="163"/>
      <c r="AM99" s="153">
        <f xml:space="preserve"> M99 + (N99&gt;0)</f>
        <v>0</v>
      </c>
      <c r="AN99" s="153"/>
      <c r="AO99" s="153">
        <f t="shared" ref="AO99:AO104" si="392" xml:space="preserve"> J99 * MAX( 1, ROUNDUP(IFERROR(K99/J99,0)/35,0) ) * (L99&gt;0)</f>
        <v>0</v>
      </c>
      <c r="AP99" s="153"/>
      <c r="AQ99">
        <f t="shared" ref="AQ99:AQ104" si="393">BH99+IF( BH99&gt;10, CA99, BY99 )</f>
        <v>12</v>
      </c>
      <c r="AR99" s="64">
        <f xml:space="preserve"> BB99 + BS99 + CG99 + CK99 + 2*($A99=Tables!$A$453)</f>
        <v>3</v>
      </c>
      <c r="AS99" s="69">
        <f t="shared" ref="AS99:AS105" si="394">MIN( H99, $S99 - BF99 - BW99  )</f>
        <v>0</v>
      </c>
      <c r="AT99" t="s">
        <v>378</v>
      </c>
      <c r="AU99" s="8" t="str">
        <f>VLOOKUP( $AS99, Tables!$A$184:$H$193,  2 )</f>
        <v>Standard</v>
      </c>
      <c r="AV99" s="8" t="str">
        <f>VLOOKUP( $AS99, Tables!$A$184:$H$193,  3 )</f>
        <v>Std</v>
      </c>
      <c r="AW99" s="52">
        <f>VLOOKUP( $AS99, Tables!$A$184:$H$193, 4 )</f>
        <v>0</v>
      </c>
      <c r="AX99" s="8">
        <f>VLOOKUP( $AS99, Tables!$A$184:$H$193,  5 )</f>
        <v>1</v>
      </c>
      <c r="AY99" s="8">
        <f>VLOOKUP( $AS99, Tables!$A$184:$H$193, 6 )</f>
        <v>1</v>
      </c>
      <c r="AZ99" s="8"/>
      <c r="BA99" s="8" t="str">
        <f xml:space="preserve"> VLOOKUP( $AQ99, Tables!$C$366:$H$384, IF($BH99&gt;10,3,6) )</f>
        <v>AR</v>
      </c>
      <c r="BB99" s="60">
        <f>VLOOKUP( $AS99, Tables!$A$184:$Q$193, 9 )</f>
        <v>0</v>
      </c>
      <c r="BD99" t="s">
        <v>534</v>
      </c>
      <c r="BE99" t="str">
        <f xml:space="preserve"> VLOOKUP( $A99, Tables!$A$451:$F$474, 2, 0 )</f>
        <v>A</v>
      </c>
      <c r="BF99">
        <f xml:space="preserve"> VLOOKUP( $A99, Tables!$A$451:$F$474, 3, 0 )</f>
        <v>11</v>
      </c>
      <c r="BG99">
        <f xml:space="preserve"> VLOOKUP( $A99, Tables!$A$451:$F$474, 4, 0 )</f>
        <v>8</v>
      </c>
      <c r="BH99">
        <f xml:space="preserve"> VLOOKUP( $A99, Tables!$A$451:$F$474, 5, 0 )</f>
        <v>12</v>
      </c>
      <c r="BI99">
        <f xml:space="preserve"> VLOOKUP( $A99, Tables!$A$451:$F$474, 6, 0 )</f>
        <v>2.5</v>
      </c>
      <c r="BJ99" s="1">
        <f xml:space="preserve"> IF(  IFERROR(FIND("issile",A99),0)&gt;0,  "M",  IF(  IFERROR(FIND("SLM",A99),0)&gt;0,  1,  BU99  + 1*($A99=Tables!$A$452)  )  )</f>
        <v>10</v>
      </c>
      <c r="BK99">
        <f t="shared" ref="BK99:BK104" si="395" xml:space="preserve"> BO99 - BG99</f>
        <v>1</v>
      </c>
      <c r="BL99" t="str">
        <f>VLOOKUP( $BG99, Tables!$A$435:$H$447, 2 )</f>
        <v>Barbette</v>
      </c>
      <c r="BM99" t="s">
        <v>109</v>
      </c>
      <c r="BN99">
        <f xml:space="preserve"> IF(  IFERROR(FIND("SLM",A99),0)&gt;0,  1,  VLOOKUP( $C99, Tables!$B$435:$J$447, 9, 0 ) )</f>
        <v>2</v>
      </c>
      <c r="BO99">
        <f>VLOOKUP( $C99, Tables!$B$435:$H$447, 2, 0 )</f>
        <v>9</v>
      </c>
      <c r="BP99" t="str">
        <f>VLOOKUP( $C99, Tables!$B$435:$H$447, 3, 0 )</f>
        <v>B2</v>
      </c>
      <c r="BQ99">
        <f>VLOOKUP( $C99, Tables!$B$435:$H$447, 4, 0 )</f>
        <v>5</v>
      </c>
      <c r="BR99">
        <f>VLOOKUP( $C99, Tables!$B$435:$H$447, 5, 0 )</f>
        <v>4</v>
      </c>
      <c r="BS99">
        <f>VLOOKUP( $C99, Tables!$B$435:$H$447, 6, 0 )</f>
        <v>3</v>
      </c>
      <c r="BT99">
        <f>VLOOKUP( $C99, Tables!$B$435:$H$447, 7, 0 )</f>
        <v>1</v>
      </c>
      <c r="BU99">
        <f>VLOOKUP( $C99, Tables!$B$435:$I$447, 8, 0 )</f>
        <v>10</v>
      </c>
      <c r="BV99" t="s">
        <v>618</v>
      </c>
      <c r="BW99">
        <f>VLOOKUP( $D99, Tables!$B$388:$J$394, IF( $BH99&lt;10, 2,9), 0 )</f>
        <v>0</v>
      </c>
      <c r="BX99">
        <f>VLOOKUP( $D99, Tables!$B$388:$I$394, 3, 0 )</f>
        <v>7</v>
      </c>
      <c r="BY99">
        <f>VLOOKUP( $D99, Tables!$B$388:$I$394, 4, 0 )</f>
        <v>0</v>
      </c>
      <c r="BZ99">
        <f>VLOOKUP( $D99, Tables!$B$388:$I$394, 5, 0 )</f>
        <v>7</v>
      </c>
      <c r="CA99">
        <f>VLOOKUP( $D99, Tables!$B$388:$I$394, 6, 0 )</f>
        <v>0</v>
      </c>
      <c r="CB99" s="85">
        <f>VLOOKUP( $D99, Tables!$B$388:$L$394, IF( $BH99&lt;10, 7, 10 ), 0 )</f>
        <v>1</v>
      </c>
      <c r="CC99" s="85">
        <f>VLOOKUP( $D99, Tables!$B$388:$L$394, IF( $BH99&lt;10, 8, 11 ), 0 )</f>
        <v>1</v>
      </c>
      <c r="CD99">
        <f xml:space="preserve"> $S99 - BF99 - BW99</f>
        <v>1</v>
      </c>
      <c r="CE99">
        <f>($E99&gt;0)*2 * (BO99&gt;3) * (BO99&lt;10)</f>
        <v>0</v>
      </c>
      <c r="CF99">
        <f>($E99&gt;0)*1 * (BO99&gt;3) * (BO99&lt;10)</f>
        <v>0</v>
      </c>
      <c r="CG99">
        <f>($E99&gt;0)*3 * (BO99&gt;3) * (BO99&lt;10)</f>
        <v>0</v>
      </c>
      <c r="CI99">
        <f>($F99&gt;0)*2 * (BO99&gt;3) * (BO99&lt;10)</f>
        <v>0</v>
      </c>
      <c r="CJ99">
        <f>($F99&gt;0)*3 * (BO99&gt;3) * (BO99&lt;10)</f>
        <v>0</v>
      </c>
      <c r="CK99">
        <f>($F99&gt;0)*0 * (BO99&gt;3) * (BO99&lt;10)</f>
        <v>0</v>
      </c>
      <c r="CM99">
        <f>BG99</f>
        <v>8</v>
      </c>
      <c r="CN99" t="str">
        <f xml:space="preserve"> VLOOKUP( VLOOKUP( $A99, Tables!$A$451:$G$474, 7, 0 ), Tables!$A$435:$I$447, 2 )</f>
        <v>Barbette, Double</v>
      </c>
      <c r="CO99" t="str">
        <f xml:space="preserve"> VLOOKUP( MIN( $CM99+CO$98-$CO$98, $CW$98 ), Tables!$A$435:$I$447, 2 )</f>
        <v>Barbette</v>
      </c>
      <c r="CP99" t="str">
        <f xml:space="preserve"> VLOOKUP( MIN( $CM99+CP$98-$CO$98, $CW$98 ), Tables!$A$435:$I$447, 2 )</f>
        <v>Barbette, Double</v>
      </c>
      <c r="CQ99" t="str">
        <f xml:space="preserve"> VLOOKUP( MIN( $CM99+CQ$98-$CO$98, $CW$98 ), Tables!$A$435:$I$447, 2 )</f>
        <v>Bay</v>
      </c>
      <c r="CR99" t="str">
        <f xml:space="preserve"> VLOOKUP( MIN( $CM99+CR$98-$CO$98, $CW$98 ), Tables!$A$435:$I$447, 2 )</f>
        <v>Bay, Large</v>
      </c>
      <c r="CS99" t="str">
        <f xml:space="preserve"> VLOOKUP( MIN( $CM99+CS$98-$CO$98, $CW$98 ), Tables!$A$435:$I$447, 2 )</f>
        <v>Main</v>
      </c>
      <c r="CT99" t="str">
        <f xml:space="preserve"> VLOOKUP( MIN( $CM99+CT$98-$CO$98, $CW$98 ), Tables!$A$435:$I$447, 2 )</f>
        <v>Main</v>
      </c>
      <c r="CU99" t="str">
        <f xml:space="preserve"> VLOOKUP( MIN( $CM99+CU$98-$CO$98, $CW$98 ), Tables!$A$435:$I$447, 2 )</f>
        <v>Main</v>
      </c>
      <c r="CV99" t="str">
        <f xml:space="preserve"> VLOOKUP( MIN( $CM99+CV$98-$CO$98, $CW$98 ), Tables!$A$435:$I$447, 2 )</f>
        <v>Main</v>
      </c>
      <c r="CW99" t="str">
        <f xml:space="preserve"> VLOOKUP( MIN( $CM99+CW$98-$CO$98, $CW$98 ), Tables!$A$435:$I$447, 2 )</f>
        <v>Main</v>
      </c>
      <c r="CX99">
        <f xml:space="preserve"> J99 * (BT99&gt;0)</f>
        <v>0</v>
      </c>
      <c r="CY99">
        <f t="shared" ref="CY99:CY105" si="396" xml:space="preserve"> $S99-$BF99+IF(Military&gt;0,1,-1)</f>
        <v>0</v>
      </c>
      <c r="CZ99">
        <f xml:space="preserve"> -2 - 1*($DD99&gt;10)</f>
        <v>-3</v>
      </c>
      <c r="DA99">
        <f xml:space="preserve"> 3 - 1*($DD99&gt;10)</f>
        <v>2</v>
      </c>
      <c r="DB99" t="str">
        <f xml:space="preserve"> VLOOKUP( MIN( MAX( CZ99, IF( CY99&lt;0, CY99, IF( Hull&lt;100, MIN(-1,CY99), IF( BH99&lt;10,0-1*(Military&gt;0),0+CY99*(Military&gt;1)) ) )), DA99 ), RangeEffectTable, 2 )</f>
        <v>Rng±0, TL±0</v>
      </c>
      <c r="DD99">
        <f xml:space="preserve"> BH99</f>
        <v>12</v>
      </c>
      <c r="DE99" t="str">
        <f xml:space="preserve"> VLOOKUP( -2 - 1*($DD99&gt;10), RangeEffectTable, 2 )</f>
        <v>Rng-3, TL-3</v>
      </c>
      <c r="DF99" t="str">
        <f xml:space="preserve"> VLOOKUP( -1 - 1*($DD99&gt;10), RangeEffectTable, 2 )</f>
        <v>Rng-2, TL-2</v>
      </c>
      <c r="DG99" t="str">
        <f xml:space="preserve"> VLOOKUP( 0 - 1*($DD99&gt;10), RangeEffectTable, 2 )</f>
        <v>Rng-1, TL-1</v>
      </c>
      <c r="DH99" t="str">
        <f xml:space="preserve"> VLOOKUP( 1 - 1*($DD99&gt;10), RangeEffectTable, 2 )</f>
        <v>Rng±0, TL±0</v>
      </c>
      <c r="DI99" t="str">
        <f xml:space="preserve"> VLOOKUP( 2 - 1*($DD99&gt;10), RangeEffectTable, 2 )</f>
        <v>Rng+1, TL+1</v>
      </c>
      <c r="DJ99" t="str">
        <f xml:space="preserve"> VLOOKUP( 3 - 1*($DD99&gt;10), RangeEffectTable, 2 )</f>
        <v>Rng+2, TL+2</v>
      </c>
      <c r="DL99">
        <f ca="1" xml:space="preserve"> IF( $AV99=Tables!$C$189, 5, RANDBETWEEN(1,6)+RANDBETWEEN(1,6)-2 )</f>
        <v>9</v>
      </c>
      <c r="DM99">
        <f ca="1" xml:space="preserve"> IF( $AV99=Tables!$C$189, 0, RANDBETWEEN(1,6)-RANDBETWEEN(1,6)+ VLOOKUP( $AS99, Tables!$A$184:$Q$193,  14 ) )</f>
        <v>1</v>
      </c>
      <c r="DN99">
        <f ca="1" xml:space="preserve"> IF( $AV99=Tables!$C$189, 0, RANDBETWEEN(1,6)-RANDBETWEEN(1,6)+ VLOOKUP( $AS99, Tables!$A$184:$Q$193,  15 ) )</f>
        <v>-2</v>
      </c>
      <c r="DO99">
        <f ca="1" xml:space="preserve"> IF( $AV99=Tables!$C$189, 0, RANDBETWEEN(1,6)-RANDBETWEEN(1,6)+ VLOOKUP( $AS99, Tables!$A$184:$Q$193,  16 ) )</f>
        <v>4</v>
      </c>
      <c r="DP99">
        <f ca="1" xml:space="preserve"> IF( $AV99=Tables!$C$189, 0, RANDBETWEEN(1,6)-RANDBETWEEN(1,6)+ VLOOKUP( $AS99, Tables!$A$184:$Q$193,  17 ) )</f>
        <v>0</v>
      </c>
      <c r="DQ99" s="44" t="str">
        <f ca="1" xml:space="preserve"> VLOOKUP( $DL99,Tables!$B$2:$C$36,2)</f>
        <v>9</v>
      </c>
      <c r="DR99" t="str">
        <f t="shared" ref="DR99:DR104" ca="1" si="397" xml:space="preserve"> IF( DM99&lt;0, CONCATENATE( DM99 ), CONCATENATE( " ", DM99 ) )</f>
        <v xml:space="preserve"> 1</v>
      </c>
      <c r="DS99" t="str">
        <f t="shared" ref="DS99:DS104" ca="1" si="398" xml:space="preserve"> IF( DN99&lt;0, CONCATENATE( DN99 ), CONCATENATE( " ", DN99 ) )</f>
        <v>-2</v>
      </c>
      <c r="DT99" t="str">
        <f t="shared" ref="DT99:DT104" ca="1" si="399" xml:space="preserve"> IF( DO99&lt;0, CONCATENATE( DO99 ), CONCATENATE( " ", DO99 ) )</f>
        <v xml:space="preserve"> 4</v>
      </c>
      <c r="DU99" t="str">
        <f t="shared" ref="DU99:DU104" ca="1" si="400" xml:space="preserve"> IF( DP99&lt;0, CONCATENATE( DP99 ), CONCATENATE( " ", DP99 ) )</f>
        <v xml:space="preserve"> 0</v>
      </c>
      <c r="DW99" s="194">
        <f xml:space="preserve"> SUM( DX$4:DX99, -DX99 )</f>
        <v>0</v>
      </c>
      <c r="DX99" s="194">
        <v>0</v>
      </c>
      <c r="DY99" s="194">
        <f xml:space="preserve"> SUM( DZ$4:DZ99, -DZ99 )</f>
        <v>13</v>
      </c>
      <c r="DZ99" s="194">
        <v>0</v>
      </c>
      <c r="EA99" s="194">
        <f xml:space="preserve"> SUM( EB$4:EB99, -EB99 )</f>
        <v>12</v>
      </c>
      <c r="EB99" s="194">
        <v>0</v>
      </c>
      <c r="EC99" s="194">
        <f xml:space="preserve"> SUM( ED$4:ED99, -ED99 )</f>
        <v>0</v>
      </c>
      <c r="ED99" s="194">
        <v>0</v>
      </c>
      <c r="EE99" s="194">
        <f xml:space="preserve"> SUM( EF$4:EF99, -EF99 )</f>
        <v>2.6</v>
      </c>
      <c r="EF99" s="194">
        <v>0</v>
      </c>
      <c r="EG99" s="194">
        <f xml:space="preserve"> SUM( EH$4:EH99, -EH99 )</f>
        <v>0</v>
      </c>
      <c r="EH99" s="194">
        <v>0</v>
      </c>
      <c r="EI99" s="194">
        <f xml:space="preserve"> SUM( EJ$4:EJ99, -EJ99 )</f>
        <v>32.4</v>
      </c>
      <c r="EJ99" s="194">
        <v>0</v>
      </c>
      <c r="EK99" s="194">
        <f xml:space="preserve"> SUM( EL$4:EL99, -EL99 )</f>
        <v>0</v>
      </c>
      <c r="EL99" s="194">
        <v>0</v>
      </c>
      <c r="EM99" s="194">
        <f xml:space="preserve"> SUM( EN$4:EN99, -EN99 )</f>
        <v>0</v>
      </c>
      <c r="EN99" s="194">
        <v>0</v>
      </c>
      <c r="EO99" s="194">
        <f xml:space="preserve"> SUM( EP$4:EP99, -EP99 )</f>
        <v>0</v>
      </c>
      <c r="EP99" s="194">
        <v>0</v>
      </c>
      <c r="EQ99" s="194">
        <f xml:space="preserve"> SUM( ER$4:ER99, -ER99 )</f>
        <v>24</v>
      </c>
      <c r="ER99" s="194">
        <v>0</v>
      </c>
      <c r="ES99" s="194">
        <f xml:space="preserve"> SUM( ET$4:ET99, -ET99 )</f>
        <v>0</v>
      </c>
      <c r="ET99" s="194">
        <v>0</v>
      </c>
      <c r="EU99" s="194">
        <f xml:space="preserve"> SUM( EV$4:EV99, -EV99 )</f>
        <v>10</v>
      </c>
      <c r="EV99" s="194">
        <v>0</v>
      </c>
      <c r="EW99" s="194">
        <f xml:space="preserve"> SUM( EX$4:EX99, -EX99 )</f>
        <v>6</v>
      </c>
      <c r="EX99" s="194">
        <v>0</v>
      </c>
      <c r="EZ99" t="str">
        <f t="shared" si="312"/>
        <v>Particle</v>
      </c>
      <c r="FB99" s="237">
        <f xml:space="preserve"> SUM( FC$4:FC99, -FC99 )</f>
        <v>4</v>
      </c>
      <c r="FC99" s="237">
        <v>0</v>
      </c>
      <c r="FD99" s="237">
        <f xml:space="preserve"> SUM( FE$4:FE99, -FE99 )</f>
        <v>1</v>
      </c>
      <c r="FE99" s="237">
        <f>CX99</f>
        <v>0</v>
      </c>
      <c r="FF99" t="str">
        <f xml:space="preserve"> CONCATENATE( EZ99 &amp; " " &amp; BP99 )</f>
        <v>Particle B2</v>
      </c>
    </row>
    <row r="100" spans="1:162">
      <c r="A100" s="71" t="s">
        <v>20</v>
      </c>
      <c r="B100" s="8" t="str">
        <f t="shared" ref="B100:B104" si="401">AV100</f>
        <v>Std</v>
      </c>
      <c r="C100" s="63" t="str">
        <f t="shared" ref="C100:C104" si="402">CN100</f>
        <v>Triple</v>
      </c>
      <c r="D100" s="63" t="str">
        <f xml:space="preserve"> IF( $A100=Tables!$A$470, $DG100, $DB100 )</f>
        <v>Rng±0, TL±0</v>
      </c>
      <c r="E100" s="81">
        <v>0</v>
      </c>
      <c r="F100" s="82">
        <v>0</v>
      </c>
      <c r="G100" s="20">
        <f xml:space="preserve">  (Military=1) * ROUNDDOWN( (M4*3+N4-SUM(M101:M109)*3-SUM(N101:N109))/3,0)</f>
        <v>0</v>
      </c>
      <c r="H100" s="221">
        <f xml:space="preserve"> MIN( ($G100&gt;0) * ( 0.5*($CD100&gt;0) + 1.5*($CD100&gt;=2) + 4*(Military&gt;1) ), 9-7*($A100=Tables!$A$470) )</f>
        <v>0</v>
      </c>
      <c r="I100" s="72">
        <f t="shared" si="383"/>
        <v>7</v>
      </c>
      <c r="J100" s="86">
        <f t="shared" ref="J100:J104" si="403" xml:space="preserve"> IF( I100&gt;$S100, -1*(G100&gt;0),  G100  )</f>
        <v>0</v>
      </c>
      <c r="K100" s="194">
        <f t="shared" ref="K100:K105" si="404" xml:space="preserve"> ROUND(  J100 * ( (BQ100+CE100+CI100) * CB100 ),  2  )</f>
        <v>0</v>
      </c>
      <c r="L100" s="194">
        <f t="shared" ref="L100:L105" si="405" xml:space="preserve"> ROUND(  J100 * ( BI100 * AY100 + (BR100+CF100+CJ100) * CC100 ) * ( 1 + 0.1*($S100=TL+1) ),  2  )</f>
        <v>0</v>
      </c>
      <c r="M100" s="48">
        <f t="shared" si="384"/>
        <v>0</v>
      </c>
      <c r="N100" s="48">
        <f t="shared" si="385"/>
        <v>0</v>
      </c>
      <c r="O100" s="204" t="str">
        <f t="shared" si="386"/>
        <v/>
      </c>
      <c r="P100" s="196" t="str">
        <f t="shared" si="387"/>
        <v/>
      </c>
      <c r="S100" s="223">
        <f t="shared" si="388"/>
        <v>12</v>
      </c>
      <c r="T100" t="str">
        <f t="shared" si="389"/>
        <v/>
      </c>
      <c r="Z100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0" s="160" t="str">
        <f t="shared" si="391"/>
        <v/>
      </c>
      <c r="AB100" s="161" t="str">
        <f t="shared" ref="AB100:AB105" si="406" xml:space="preserve"> CONCATENATE( LEFT(P100,31) )</f>
        <v/>
      </c>
      <c r="AC100" s="160" t="str">
        <f t="shared" si="282"/>
        <v xml:space="preserve">                               </v>
      </c>
      <c r="AD100" s="160" t="str">
        <f t="shared" si="289"/>
        <v xml:space="preserve">           </v>
      </c>
      <c r="AE100" s="162" t="str">
        <f t="shared" si="232"/>
        <v>0</v>
      </c>
      <c r="AF100" s="160" t="str">
        <f t="shared" si="290"/>
        <v xml:space="preserve">           </v>
      </c>
      <c r="AG100" s="161" t="str">
        <f t="shared" si="233"/>
        <v>0</v>
      </c>
      <c r="AH100" s="160" t="str">
        <f t="shared" si="327"/>
        <v xml:space="preserve">           </v>
      </c>
      <c r="AI100" s="163" t="str">
        <f t="shared" si="234"/>
        <v>0</v>
      </c>
      <c r="AJ100" s="160" t="str">
        <f t="shared" si="283"/>
        <v xml:space="preserve">      </v>
      </c>
      <c r="AK100" s="163" t="str">
        <f t="shared" si="287"/>
        <v/>
      </c>
      <c r="AL100" s="163"/>
      <c r="AM100" s="153">
        <f t="shared" ref="AM100:AM108" si="407" xml:space="preserve"> M100 + (N100&gt;0)</f>
        <v>0</v>
      </c>
      <c r="AN100" s="153"/>
      <c r="AO100" s="153">
        <f t="shared" si="392"/>
        <v>0</v>
      </c>
      <c r="AP100" s="153"/>
      <c r="AQ100">
        <f t="shared" si="393"/>
        <v>12</v>
      </c>
      <c r="AR100" s="68">
        <f xml:space="preserve"> BB100 + BS100 + CG100 + CK100 + 2*($A100=Tables!$A$453)</f>
        <v>0</v>
      </c>
      <c r="AS100" s="69">
        <f t="shared" si="394"/>
        <v>0</v>
      </c>
      <c r="AT100" t="s">
        <v>378</v>
      </c>
      <c r="AU100" s="8" t="str">
        <f>VLOOKUP( $AS100, Tables!$A$184:$H$193,  2 )</f>
        <v>Standard</v>
      </c>
      <c r="AV100" s="8" t="str">
        <f>VLOOKUP( $AS100, Tables!$A$184:$H$193,  3 )</f>
        <v>Std</v>
      </c>
      <c r="AW100" s="52">
        <f>VLOOKUP( $AS100, Tables!$A$184:$H$193, 4 )</f>
        <v>0</v>
      </c>
      <c r="AX100" s="8">
        <f>VLOOKUP( $AS100, Tables!$A$184:$H$193,  5 )</f>
        <v>1</v>
      </c>
      <c r="AY100" s="8">
        <f>VLOOKUP( $AS100, Tables!$A$184:$H$193, 6 )</f>
        <v>1</v>
      </c>
      <c r="AZ100" s="8"/>
      <c r="BA100" s="8" t="str">
        <f xml:space="preserve"> VLOOKUP( $AQ100, Tables!$C$366:$H$384, IF($BH100&gt;10,3,6) )</f>
        <v>AR</v>
      </c>
      <c r="BB100" s="60">
        <f>VLOOKUP( $AS100, Tables!$A$184:$Q$193, 9 )</f>
        <v>0</v>
      </c>
      <c r="BD100" t="s">
        <v>534</v>
      </c>
      <c r="BE100" t="str">
        <f xml:space="preserve"> VLOOKUP( $A100, Tables!$A$451:$F$474, 2, 0 )</f>
        <v>M</v>
      </c>
      <c r="BF100">
        <f xml:space="preserve"> VLOOKUP( $A100, Tables!$A$451:$F$474, 3, 0 )</f>
        <v>7</v>
      </c>
      <c r="BG100">
        <f xml:space="preserve"> VLOOKUP( $A100, Tables!$A$451:$F$474, 4, 0 )</f>
        <v>4</v>
      </c>
      <c r="BH100">
        <f xml:space="preserve"> VLOOKUP( $A100, Tables!$A$451:$F$474, 5, 0 )</f>
        <v>12</v>
      </c>
      <c r="BI100">
        <f xml:space="preserve"> VLOOKUP( $A100, Tables!$A$451:$F$474, 6, 0 )</f>
        <v>2</v>
      </c>
      <c r="BJ100" s="1" t="str">
        <f xml:space="preserve"> IF(  IFERROR(FIND("issile",A100),0)&gt;0,  "M",  IF(  IFERROR(FIND("SLM",A100),0)&gt;0,  1,  BU100  + 1*($A100=Tables!$A$452)  )  )</f>
        <v>M</v>
      </c>
      <c r="BK100">
        <f t="shared" si="395"/>
        <v>2</v>
      </c>
      <c r="BL100" t="str">
        <f>VLOOKUP( $BG100, Tables!$A$435:$H$447, 2 )</f>
        <v>Single</v>
      </c>
      <c r="BM100" t="s">
        <v>109</v>
      </c>
      <c r="BN100">
        <f xml:space="preserve"> IF(  IFERROR(FIND("SLM",A100),0)&gt;0,  1,  VLOOKUP( $C100, Tables!$B$435:$J$447, 9, 0 ) )</f>
        <v>3</v>
      </c>
      <c r="BO100">
        <f>VLOOKUP( $C100, Tables!$B$435:$H$447, 2, 0 )</f>
        <v>6</v>
      </c>
      <c r="BP100" t="str">
        <f>VLOOKUP( $C100, Tables!$B$435:$H$447, 3, 0 )</f>
        <v>T3</v>
      </c>
      <c r="BQ100">
        <f>VLOOKUP( $C100, Tables!$B$435:$H$447, 4, 0 )</f>
        <v>1</v>
      </c>
      <c r="BR100">
        <f>VLOOKUP( $C100, Tables!$B$435:$H$447, 5, 0 )</f>
        <v>1</v>
      </c>
      <c r="BS100">
        <f>VLOOKUP( $C100, Tables!$B$435:$H$447, 6, 0 )</f>
        <v>0</v>
      </c>
      <c r="BT100">
        <f>VLOOKUP( $C100, Tables!$B$435:$H$447, 7, 0 )</f>
        <v>1</v>
      </c>
      <c r="BU100">
        <f>VLOOKUP( $C100, Tables!$B$435:$I$447, 8, 0 )</f>
        <v>3</v>
      </c>
      <c r="BV100" t="s">
        <v>618</v>
      </c>
      <c r="BW100">
        <f>VLOOKUP( $D100, Tables!$B$388:$J$394, IF( $BH100&lt;10, 2,9), 0 )</f>
        <v>0</v>
      </c>
      <c r="BX100">
        <f>VLOOKUP( $D100, Tables!$B$388:$I$394, 3, 0 )</f>
        <v>7</v>
      </c>
      <c r="BY100">
        <f>VLOOKUP( $D100, Tables!$B$388:$I$394, 4, 0 )</f>
        <v>0</v>
      </c>
      <c r="BZ100">
        <f>VLOOKUP( $D100, Tables!$B$388:$I$394, 5, 0 )</f>
        <v>7</v>
      </c>
      <c r="CA100">
        <f>VLOOKUP( $D100, Tables!$B$388:$I$394, 6, 0 )</f>
        <v>0</v>
      </c>
      <c r="CB100" s="85">
        <f>VLOOKUP( $D100, Tables!$B$388:$L$394, IF( $BH100&lt;10, 7, 10 ), 0 )</f>
        <v>1</v>
      </c>
      <c r="CC100" s="85">
        <f>VLOOKUP( $D100, Tables!$B$388:$L$394, IF( $BH100&lt;10, 8, 11 ), 0 )</f>
        <v>1</v>
      </c>
      <c r="CD100">
        <f t="shared" ref="CD100:CD105" si="408" xml:space="preserve"> $S100 - BF100 - BW100</f>
        <v>5</v>
      </c>
      <c r="CE100">
        <f t="shared" ref="CE100:CE104" si="409">($E100&gt;0)*2 * (BO100&gt;3) * (BO100&lt;10)</f>
        <v>0</v>
      </c>
      <c r="CF100">
        <f t="shared" ref="CF100:CF104" si="410">($E100&gt;0)*1 * (BO100&gt;3) * (BO100&lt;10)</f>
        <v>0</v>
      </c>
      <c r="CG100">
        <f t="shared" ref="CG100:CG104" si="411">($E100&gt;0)*3 * (BO100&gt;3) * (BO100&lt;10)</f>
        <v>0</v>
      </c>
      <c r="CI100">
        <f t="shared" ref="CI100:CI104" si="412">($F100&gt;0)*2 * (BO100&gt;3) * (BO100&lt;10)</f>
        <v>0</v>
      </c>
      <c r="CJ100">
        <f t="shared" ref="CJ100:CJ104" si="413">($F100&gt;0)*3 * (BO100&gt;3) * (BO100&lt;10)</f>
        <v>0</v>
      </c>
      <c r="CK100">
        <f t="shared" ref="CK100:CK104" si="414">($F100&gt;0)*0 * (BO100&gt;3) * (BO100&lt;10)</f>
        <v>0</v>
      </c>
      <c r="CM100">
        <f t="shared" ref="CM100:CM104" si="415">BG100</f>
        <v>4</v>
      </c>
      <c r="CN100" t="str">
        <f xml:space="preserve"> VLOOKUP( VLOOKUP( $A100, Tables!$A$451:$G$474, 7, 0 ), Tables!$A$435:$I$447, 2 )</f>
        <v>Triple</v>
      </c>
      <c r="CO100" t="str">
        <f xml:space="preserve"> VLOOKUP( MIN( $CM100+CO$98-$CO$98, $CW$98 ), Tables!$A$435:$I$447, 2 )</f>
        <v>Single</v>
      </c>
      <c r="CP100" t="str">
        <f xml:space="preserve"> VLOOKUP( MIN( $CM100+CP$98-$CO$98, $CW$98 ), Tables!$A$435:$I$447, 2 )</f>
        <v>Double</v>
      </c>
      <c r="CQ100" t="str">
        <f xml:space="preserve"> VLOOKUP( MIN( $CM100+CQ$98-$CO$98, $CW$98 ), Tables!$A$435:$I$447, 2 )</f>
        <v>Triple</v>
      </c>
      <c r="CR100" t="str">
        <f xml:space="preserve"> VLOOKUP( MIN( $CM100+CR$98-$CO$98, $CW$98 ), Tables!$A$435:$I$447, 2 )</f>
        <v>Quad</v>
      </c>
      <c r="CS100" t="str">
        <f xml:space="preserve"> VLOOKUP( MIN( $CM100+CS$98-$CO$98, $CW$98 ), Tables!$A$435:$I$447, 2 )</f>
        <v>Barbette</v>
      </c>
      <c r="CT100" t="str">
        <f xml:space="preserve"> VLOOKUP( MIN( $CM100+CT$98-$CO$98, $CW$98 ), Tables!$A$435:$I$447, 2 )</f>
        <v>Barbette, Double</v>
      </c>
      <c r="CU100" t="str">
        <f xml:space="preserve"> VLOOKUP( MIN( $CM100+CU$98-$CO$98, $CW$98 ), Tables!$A$435:$I$447, 2 )</f>
        <v>Bay</v>
      </c>
      <c r="CV100" t="str">
        <f xml:space="preserve"> VLOOKUP( MIN( $CM100+CV$98-$CO$98, $CW$98 ), Tables!$A$435:$I$447, 2 )</f>
        <v>Bay, Large</v>
      </c>
      <c r="CW100" t="str">
        <f xml:space="preserve"> VLOOKUP( MIN( $CM100+CW$98-$CO$98, $CW$98 ), Tables!$A$435:$I$447, 2 )</f>
        <v>Main</v>
      </c>
      <c r="CX100">
        <f t="shared" ref="CX100:CX105" si="416" xml:space="preserve"> J100 * (BT100&gt;0)</f>
        <v>0</v>
      </c>
      <c r="CY100">
        <f t="shared" si="396"/>
        <v>4</v>
      </c>
      <c r="CZ100">
        <f t="shared" ref="CZ100:CZ104" si="417" xml:space="preserve"> DE$98 - 1*($DD100&gt;10)</f>
        <v>-3</v>
      </c>
      <c r="DA100">
        <f t="shared" ref="DA100:DA108" si="418" xml:space="preserve"> 3 - 1*($DD100&gt;10)</f>
        <v>2</v>
      </c>
      <c r="DB100" t="str">
        <f t="shared" ref="DB100:DB108" si="419" xml:space="preserve"> VLOOKUP( MIN( MAX( CZ100, IF( CY100&lt;0, CY100, IF( Hull&lt;100, MIN(-1,CY100), IF( BH100&lt;10,0-1*(Military&gt;0),0+CY100*(Military&gt;1)) ) )), DA100 ), RangeEffectTable, 2 )</f>
        <v>Rng±0, TL±0</v>
      </c>
      <c r="DD100">
        <f t="shared" ref="DD100:DD104" si="420" xml:space="preserve"> BH100</f>
        <v>12</v>
      </c>
      <c r="DE100" t="str">
        <f t="shared" ref="DE100:DE108" si="421" xml:space="preserve"> VLOOKUP( -2 - 1*($DD100&gt;10), RangeEffectTable, 2 )</f>
        <v>Rng-3, TL-3</v>
      </c>
      <c r="DF100" t="str">
        <f t="shared" ref="DF100:DF108" si="422" xml:space="preserve"> VLOOKUP( -1 - 1*($DD100&gt;10), RangeEffectTable, 2 )</f>
        <v>Rng-2, TL-2</v>
      </c>
      <c r="DG100" t="str">
        <f t="shared" ref="DG100:DG108" si="423" xml:space="preserve"> VLOOKUP( 0 - 1*($DD100&gt;10), RangeEffectTable, 2 )</f>
        <v>Rng-1, TL-1</v>
      </c>
      <c r="DH100" t="str">
        <f t="shared" ref="DH100:DH108" si="424" xml:space="preserve"> VLOOKUP( 1 - 1*($DD100&gt;10), RangeEffectTable, 2 )</f>
        <v>Rng±0, TL±0</v>
      </c>
      <c r="DI100" t="str">
        <f t="shared" ref="DI100:DI108" si="425" xml:space="preserve"> VLOOKUP( 2 - 1*($DD100&gt;10), RangeEffectTable, 2 )</f>
        <v>Rng+1, TL+1</v>
      </c>
      <c r="DJ100" t="str">
        <f t="shared" ref="DJ100:DJ108" si="426" xml:space="preserve"> VLOOKUP( 3 - 1*($DD100&gt;10), RangeEffectTable, 2 )</f>
        <v>Rng+2, TL+2</v>
      </c>
      <c r="DL100">
        <f ca="1" xml:space="preserve"> IF( $AV100=Tables!$C$189, 5, RANDBETWEEN(1,6)+RANDBETWEEN(1,6)-2 )</f>
        <v>3</v>
      </c>
      <c r="DM100">
        <f ca="1" xml:space="preserve"> IF( $AV100=Tables!$C$189, 0, RANDBETWEEN(1,6)-RANDBETWEEN(1,6)+ VLOOKUP( $AS100, Tables!$A$184:$Q$193,  14 ) )</f>
        <v>0</v>
      </c>
      <c r="DN100">
        <f ca="1" xml:space="preserve"> IF( $AV100=Tables!$C$189, 0, RANDBETWEEN(1,6)-RANDBETWEEN(1,6)+ VLOOKUP( $AS100, Tables!$A$184:$Q$193,  15 ) )</f>
        <v>3</v>
      </c>
      <c r="DO100">
        <f ca="1" xml:space="preserve"> IF( $AV100=Tables!$C$189, 0, RANDBETWEEN(1,6)-RANDBETWEEN(1,6)+ VLOOKUP( $AS100, Tables!$A$184:$Q$193,  16 ) )</f>
        <v>2</v>
      </c>
      <c r="DP100">
        <f ca="1" xml:space="preserve"> IF( $AV100=Tables!$C$189, 0, RANDBETWEEN(1,6)-RANDBETWEEN(1,6)+ VLOOKUP( $AS100, Tables!$A$184:$Q$193,  17 ) )</f>
        <v>4</v>
      </c>
      <c r="DQ100" s="44" t="str">
        <f ca="1" xml:space="preserve"> VLOOKUP( $DL100,Tables!$B$2:$C$36,2)</f>
        <v>3</v>
      </c>
      <c r="DR100" t="str">
        <f t="shared" ca="1" si="397"/>
        <v xml:space="preserve"> 0</v>
      </c>
      <c r="DS100" t="str">
        <f t="shared" ca="1" si="398"/>
        <v xml:space="preserve"> 3</v>
      </c>
      <c r="DT100" t="str">
        <f t="shared" ca="1" si="399"/>
        <v xml:space="preserve"> 2</v>
      </c>
      <c r="DU100" t="str">
        <f t="shared" ca="1" si="400"/>
        <v xml:space="preserve"> 4</v>
      </c>
      <c r="DW100" s="194">
        <f xml:space="preserve"> SUM( DX$4:DX100, -DX100 )</f>
        <v>0</v>
      </c>
      <c r="DX100" s="194">
        <v>0</v>
      </c>
      <c r="DY100" s="194">
        <f xml:space="preserve"> SUM( DZ$4:DZ100, -DZ100 )</f>
        <v>13</v>
      </c>
      <c r="DZ100" s="194">
        <v>0</v>
      </c>
      <c r="EA100" s="194">
        <f xml:space="preserve"> SUM( EB$4:EB100, -EB100 )</f>
        <v>12</v>
      </c>
      <c r="EB100" s="194">
        <v>0</v>
      </c>
      <c r="EC100" s="194">
        <f xml:space="preserve"> SUM( ED$4:ED100, -ED100 )</f>
        <v>0</v>
      </c>
      <c r="ED100" s="194">
        <v>0</v>
      </c>
      <c r="EE100" s="194">
        <f xml:space="preserve"> SUM( EF$4:EF100, -EF100 )</f>
        <v>2.6</v>
      </c>
      <c r="EF100" s="194">
        <v>0</v>
      </c>
      <c r="EG100" s="194">
        <f xml:space="preserve"> SUM( EH$4:EH100, -EH100 )</f>
        <v>0</v>
      </c>
      <c r="EH100" s="194">
        <v>0</v>
      </c>
      <c r="EI100" s="194">
        <f xml:space="preserve"> SUM( EJ$4:EJ100, -EJ100 )</f>
        <v>32.4</v>
      </c>
      <c r="EJ100" s="194">
        <v>0</v>
      </c>
      <c r="EK100" s="194">
        <f xml:space="preserve"> SUM( EL$4:EL100, -EL100 )</f>
        <v>0</v>
      </c>
      <c r="EL100" s="194">
        <v>0</v>
      </c>
      <c r="EM100" s="194">
        <f xml:space="preserve"> SUM( EN$4:EN100, -EN100 )</f>
        <v>0</v>
      </c>
      <c r="EN100" s="194">
        <v>0</v>
      </c>
      <c r="EO100" s="194">
        <f xml:space="preserve"> SUM( EP$4:EP100, -EP100 )</f>
        <v>0</v>
      </c>
      <c r="EP100" s="194">
        <v>0</v>
      </c>
      <c r="EQ100" s="194">
        <f xml:space="preserve"> SUM( ER$4:ER100, -ER100 )</f>
        <v>24</v>
      </c>
      <c r="ER100" s="194">
        <v>0</v>
      </c>
      <c r="ES100" s="194">
        <f xml:space="preserve"> SUM( ET$4:ET100, -ET100 )</f>
        <v>0</v>
      </c>
      <c r="ET100" s="194">
        <v>0</v>
      </c>
      <c r="EU100" s="194">
        <f xml:space="preserve"> SUM( EV$4:EV100, -EV100 )</f>
        <v>10</v>
      </c>
      <c r="EV100" s="194">
        <v>0</v>
      </c>
      <c r="EW100" s="194">
        <f xml:space="preserve"> SUM( EX$4:EX100, -EX100 )</f>
        <v>6</v>
      </c>
      <c r="EX100" s="194">
        <v>0</v>
      </c>
      <c r="EZ100" t="str">
        <f t="shared" si="312"/>
        <v>Missile</v>
      </c>
      <c r="FB100" s="237">
        <f xml:space="preserve"> SUM( FC$4:FC100, -FC100 )</f>
        <v>4</v>
      </c>
      <c r="FC100" s="237">
        <v>0</v>
      </c>
      <c r="FD100" s="237">
        <f xml:space="preserve"> SUM( FE$4:FE100, -FE100 )</f>
        <v>1</v>
      </c>
      <c r="FE100" s="237">
        <f t="shared" ref="FE100:FE105" si="427">CX100</f>
        <v>0</v>
      </c>
      <c r="FF100" t="str">
        <f t="shared" ref="FF100:FF108" si="428" xml:space="preserve"> CONCATENATE( EZ100 &amp; " " &amp; BP100 )</f>
        <v>Missile T3</v>
      </c>
    </row>
    <row r="101" spans="1:162">
      <c r="A101" s="71" t="s">
        <v>547</v>
      </c>
      <c r="B101" s="8" t="str">
        <f t="shared" si="401"/>
        <v>Std</v>
      </c>
      <c r="C101" s="63" t="str">
        <f t="shared" si="402"/>
        <v>Triple</v>
      </c>
      <c r="D101" s="63" t="str">
        <f xml:space="preserve"> IF( $A101=Tables!$A$470, $DG101, $DB101 )</f>
        <v>Rng±0, TL±0</v>
      </c>
      <c r="E101" s="83">
        <v>0</v>
      </c>
      <c r="F101" s="82">
        <v>0</v>
      </c>
      <c r="G101" s="20">
        <v>0</v>
      </c>
      <c r="H101" s="221">
        <f xml:space="preserve"> MIN( ($G101&gt;0) * ( 0.5*($CD101&gt;0) + 1.5*($CD101&gt;=2) + 4*(Military&gt;1) ), 9-7*($A101=Tables!$A$470) )</f>
        <v>0</v>
      </c>
      <c r="I101" s="72">
        <f t="shared" si="383"/>
        <v>10</v>
      </c>
      <c r="J101" s="86">
        <f t="shared" si="403"/>
        <v>0</v>
      </c>
      <c r="K101" s="194">
        <f t="shared" si="404"/>
        <v>0</v>
      </c>
      <c r="L101" s="194">
        <f t="shared" si="405"/>
        <v>0</v>
      </c>
      <c r="M101" s="48">
        <f t="shared" si="384"/>
        <v>0</v>
      </c>
      <c r="N101" s="48">
        <f t="shared" si="385"/>
        <v>0</v>
      </c>
      <c r="O101" s="204" t="str">
        <f t="shared" si="386"/>
        <v/>
      </c>
      <c r="P101" s="196" t="str">
        <f t="shared" si="387"/>
        <v/>
      </c>
      <c r="S101" s="223">
        <f t="shared" si="388"/>
        <v>12</v>
      </c>
      <c r="T101" t="str">
        <f t="shared" si="389"/>
        <v/>
      </c>
      <c r="Z101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1" s="160" t="str">
        <f t="shared" si="391"/>
        <v/>
      </c>
      <c r="AB101" s="161" t="str">
        <f t="shared" si="406"/>
        <v/>
      </c>
      <c r="AC101" s="160" t="str">
        <f t="shared" si="282"/>
        <v xml:space="preserve">                               </v>
      </c>
      <c r="AD101" s="160" t="str">
        <f t="shared" si="289"/>
        <v xml:space="preserve">           </v>
      </c>
      <c r="AE101" s="162" t="str">
        <f t="shared" si="232"/>
        <v>0</v>
      </c>
      <c r="AF101" s="160" t="str">
        <f t="shared" si="290"/>
        <v xml:space="preserve">           </v>
      </c>
      <c r="AG101" s="161" t="str">
        <f t="shared" si="233"/>
        <v>0</v>
      </c>
      <c r="AH101" s="160" t="str">
        <f t="shared" si="327"/>
        <v xml:space="preserve">           </v>
      </c>
      <c r="AI101" s="163" t="str">
        <f t="shared" si="234"/>
        <v>0</v>
      </c>
      <c r="AJ101" s="160" t="str">
        <f t="shared" si="283"/>
        <v xml:space="preserve">      </v>
      </c>
      <c r="AK101" s="163" t="str">
        <f t="shared" si="287"/>
        <v/>
      </c>
      <c r="AL101" s="163"/>
      <c r="AM101" s="153">
        <f t="shared" si="407"/>
        <v>0</v>
      </c>
      <c r="AN101" s="153"/>
      <c r="AO101" s="153">
        <f t="shared" si="392"/>
        <v>0</v>
      </c>
      <c r="AP101" s="153"/>
      <c r="AQ101">
        <f t="shared" si="393"/>
        <v>7</v>
      </c>
      <c r="AR101" s="68">
        <f xml:space="preserve"> BB101 + BS101 + CG101 + CK101 + 2*($A101=Tables!$A$453)</f>
        <v>0</v>
      </c>
      <c r="AS101" s="69">
        <f t="shared" si="394"/>
        <v>0</v>
      </c>
      <c r="AT101" t="s">
        <v>378</v>
      </c>
      <c r="AU101" s="8" t="str">
        <f>VLOOKUP( $AS101, Tables!$A$184:$H$193,  2 )</f>
        <v>Standard</v>
      </c>
      <c r="AV101" s="8" t="str">
        <f>VLOOKUP( $AS101, Tables!$A$184:$H$193,  3 )</f>
        <v>Std</v>
      </c>
      <c r="AW101" s="52">
        <f>VLOOKUP( $AS101, Tables!$A$184:$H$193, 4 )</f>
        <v>0</v>
      </c>
      <c r="AX101" s="8">
        <f>VLOOKUP( $AS101, Tables!$A$184:$H$193,  5 )</f>
        <v>1</v>
      </c>
      <c r="AY101" s="8">
        <f>VLOOKUP( $AS101, Tables!$A$184:$H$193, 6 )</f>
        <v>1</v>
      </c>
      <c r="AZ101" s="8"/>
      <c r="BA101" s="8" t="str">
        <f xml:space="preserve"> VLOOKUP( $AQ101, Tables!$C$366:$H$384, IF($BH101&gt;10,3,6) )</f>
        <v>Vd</v>
      </c>
      <c r="BB101" s="60">
        <f>VLOOKUP( $AS101, Tables!$A$184:$Q$193, 9 )</f>
        <v>0</v>
      </c>
      <c r="BD101" t="s">
        <v>534</v>
      </c>
      <c r="BE101" t="str">
        <f xml:space="preserve"> VLOOKUP( $A101, Tables!$A$451:$F$474, 2, 0 )</f>
        <v>D</v>
      </c>
      <c r="BF101">
        <f xml:space="preserve"> VLOOKUP( $A101, Tables!$A$451:$F$474, 3, 0 )</f>
        <v>10</v>
      </c>
      <c r="BG101">
        <f xml:space="preserve"> VLOOKUP( $A101, Tables!$A$451:$F$474, 4, 0 )</f>
        <v>4</v>
      </c>
      <c r="BH101">
        <f xml:space="preserve"> VLOOKUP( $A101, Tables!$A$451:$F$474, 5, 0 )</f>
        <v>7</v>
      </c>
      <c r="BI101">
        <f xml:space="preserve"> VLOOKUP( $A101, Tables!$A$451:$F$474, 6, 0 )</f>
        <v>1</v>
      </c>
      <c r="BJ101" s="1">
        <f xml:space="preserve"> IF(  IFERROR(FIND("issile",A101),0)&gt;0,  "M",  IF(  IFERROR(FIND("SLM",A101),0)&gt;0,  1,  BU101  + 1*($A101=Tables!$A$452)  )  )</f>
        <v>3</v>
      </c>
      <c r="BK101">
        <f t="shared" si="395"/>
        <v>2</v>
      </c>
      <c r="BL101" t="str">
        <f>VLOOKUP( $BG101, Tables!$A$435:$H$447, 2 )</f>
        <v>Single</v>
      </c>
      <c r="BM101" t="s">
        <v>109</v>
      </c>
      <c r="BN101">
        <f xml:space="preserve"> IF(  IFERROR(FIND("SLM",A101),0)&gt;0,  1,  VLOOKUP( $C101, Tables!$B$435:$J$447, 9, 0 ) )</f>
        <v>3</v>
      </c>
      <c r="BO101">
        <f>VLOOKUP( $C101, Tables!$B$435:$H$447, 2, 0 )</f>
        <v>6</v>
      </c>
      <c r="BP101" t="str">
        <f>VLOOKUP( $C101, Tables!$B$435:$H$447, 3, 0 )</f>
        <v>T3</v>
      </c>
      <c r="BQ101">
        <f>VLOOKUP( $C101, Tables!$B$435:$H$447, 4, 0 )</f>
        <v>1</v>
      </c>
      <c r="BR101">
        <f>VLOOKUP( $C101, Tables!$B$435:$H$447, 5, 0 )</f>
        <v>1</v>
      </c>
      <c r="BS101">
        <f>VLOOKUP( $C101, Tables!$B$435:$H$447, 6, 0 )</f>
        <v>0</v>
      </c>
      <c r="BT101">
        <f>VLOOKUP( $C101, Tables!$B$435:$H$447, 7, 0 )</f>
        <v>1</v>
      </c>
      <c r="BU101">
        <f>VLOOKUP( $C101, Tables!$B$435:$I$447, 8, 0 )</f>
        <v>3</v>
      </c>
      <c r="BV101" t="s">
        <v>618</v>
      </c>
      <c r="BW101">
        <f>VLOOKUP( $D101, Tables!$B$388:$J$394, IF( $BH101&lt;10, 2,9), 0 )</f>
        <v>0</v>
      </c>
      <c r="BX101">
        <f>VLOOKUP( $D101, Tables!$B$388:$I$394, 3, 0 )</f>
        <v>7</v>
      </c>
      <c r="BY101">
        <f>VLOOKUP( $D101, Tables!$B$388:$I$394, 4, 0 )</f>
        <v>0</v>
      </c>
      <c r="BZ101">
        <f>VLOOKUP( $D101, Tables!$B$388:$I$394, 5, 0 )</f>
        <v>7</v>
      </c>
      <c r="CA101">
        <f>VLOOKUP( $D101, Tables!$B$388:$I$394, 6, 0 )</f>
        <v>0</v>
      </c>
      <c r="CB101" s="85">
        <f>VLOOKUP( $D101, Tables!$B$388:$L$394, IF( $BH101&lt;10, 7, 10 ), 0 )</f>
        <v>1</v>
      </c>
      <c r="CC101" s="85">
        <f>VLOOKUP( $D101, Tables!$B$388:$L$394, IF( $BH101&lt;10, 8, 11 ), 0 )</f>
        <v>1</v>
      </c>
      <c r="CD101">
        <f t="shared" si="408"/>
        <v>2</v>
      </c>
      <c r="CE101">
        <f t="shared" si="409"/>
        <v>0</v>
      </c>
      <c r="CF101">
        <f t="shared" si="410"/>
        <v>0</v>
      </c>
      <c r="CG101">
        <f t="shared" si="411"/>
        <v>0</v>
      </c>
      <c r="CI101">
        <f t="shared" si="412"/>
        <v>0</v>
      </c>
      <c r="CJ101">
        <f t="shared" si="413"/>
        <v>0</v>
      </c>
      <c r="CK101">
        <f t="shared" si="414"/>
        <v>0</v>
      </c>
      <c r="CM101">
        <f t="shared" si="415"/>
        <v>4</v>
      </c>
      <c r="CN101" t="str">
        <f xml:space="preserve"> VLOOKUP( VLOOKUP( $A101, Tables!$A$451:$G$474, 7, 0 ), Tables!$A$435:$I$447, 2 )</f>
        <v>Triple</v>
      </c>
      <c r="CO101" t="str">
        <f xml:space="preserve"> VLOOKUP( MIN( $CM101+CO$98-$CO$98, $CW$98 ), Tables!$A$435:$I$447, 2 )</f>
        <v>Single</v>
      </c>
      <c r="CP101" t="str">
        <f xml:space="preserve"> VLOOKUP( MIN( $CM101+CP$98-$CO$98, $CW$98 ), Tables!$A$435:$I$447, 2 )</f>
        <v>Double</v>
      </c>
      <c r="CQ101" t="str">
        <f xml:space="preserve"> VLOOKUP( MIN( $CM101+CQ$98-$CO$98, $CW$98 ), Tables!$A$435:$I$447, 2 )</f>
        <v>Triple</v>
      </c>
      <c r="CR101" t="str">
        <f xml:space="preserve"> VLOOKUP( MIN( $CM101+CR$98-$CO$98, $CW$98 ), Tables!$A$435:$I$447, 2 )</f>
        <v>Quad</v>
      </c>
      <c r="CS101" t="str">
        <f xml:space="preserve"> VLOOKUP( MIN( $CM101+CS$98-$CO$98, $CW$98 ), Tables!$A$435:$I$447, 2 )</f>
        <v>Barbette</v>
      </c>
      <c r="CT101" t="str">
        <f xml:space="preserve"> VLOOKUP( MIN( $CM101+CT$98-$CO$98, $CW$98 ), Tables!$A$435:$I$447, 2 )</f>
        <v>Barbette, Double</v>
      </c>
      <c r="CU101" t="str">
        <f xml:space="preserve"> VLOOKUP( MIN( $CM101+CU$98-$CO$98, $CW$98 ), Tables!$A$435:$I$447, 2 )</f>
        <v>Bay</v>
      </c>
      <c r="CV101" t="str">
        <f xml:space="preserve"> VLOOKUP( MIN( $CM101+CV$98-$CO$98, $CW$98 ), Tables!$A$435:$I$447, 2 )</f>
        <v>Bay, Large</v>
      </c>
      <c r="CW101" t="str">
        <f xml:space="preserve"> VLOOKUP( MIN( $CM101+CW$98-$CO$98, $CW$98 ), Tables!$A$435:$I$447, 2 )</f>
        <v>Main</v>
      </c>
      <c r="CX101">
        <f t="shared" si="416"/>
        <v>0</v>
      </c>
      <c r="CY101">
        <f t="shared" si="396"/>
        <v>1</v>
      </c>
      <c r="CZ101">
        <f t="shared" si="417"/>
        <v>-2</v>
      </c>
      <c r="DA101">
        <f t="shared" si="418"/>
        <v>3</v>
      </c>
      <c r="DB101" t="str">
        <f t="shared" si="419"/>
        <v>Rng±0, TL±0</v>
      </c>
      <c r="DD101">
        <f t="shared" si="420"/>
        <v>7</v>
      </c>
      <c r="DE101" t="str">
        <f t="shared" si="421"/>
        <v>Rng-2, TL-2</v>
      </c>
      <c r="DF101" t="str">
        <f t="shared" si="422"/>
        <v>Rng-1, TL-1</v>
      </c>
      <c r="DG101" t="str">
        <f t="shared" si="423"/>
        <v>Rng±0, TL±0</v>
      </c>
      <c r="DH101" t="str">
        <f t="shared" si="424"/>
        <v>Rng+1, TL+1</v>
      </c>
      <c r="DI101" t="str">
        <f t="shared" si="425"/>
        <v>Rng+2, TL+2</v>
      </c>
      <c r="DJ101" t="str">
        <f t="shared" si="426"/>
        <v>Rng+3, TL+3</v>
      </c>
      <c r="DL101">
        <f ca="1" xml:space="preserve"> IF( $AV101=Tables!$C$189, 5, RANDBETWEEN(1,6)+RANDBETWEEN(1,6)-2 )</f>
        <v>6</v>
      </c>
      <c r="DM101">
        <f ca="1" xml:space="preserve"> IF( $AV101=Tables!$C$189, 0, RANDBETWEEN(1,6)-RANDBETWEEN(1,6)+ VLOOKUP( $AS101, Tables!$A$184:$Q$193,  14 ) )</f>
        <v>2</v>
      </c>
      <c r="DN101">
        <f ca="1" xml:space="preserve"> IF( $AV101=Tables!$C$189, 0, RANDBETWEEN(1,6)-RANDBETWEEN(1,6)+ VLOOKUP( $AS101, Tables!$A$184:$Q$193,  15 ) )</f>
        <v>3</v>
      </c>
      <c r="DO101">
        <f ca="1" xml:space="preserve"> IF( $AV101=Tables!$C$189, 0, RANDBETWEEN(1,6)-RANDBETWEEN(1,6)+ VLOOKUP( $AS101, Tables!$A$184:$Q$193,  16 ) )</f>
        <v>2</v>
      </c>
      <c r="DP101">
        <f ca="1" xml:space="preserve"> IF( $AV101=Tables!$C$189, 0, RANDBETWEEN(1,6)-RANDBETWEEN(1,6)+ VLOOKUP( $AS101, Tables!$A$184:$Q$193,  17 ) )</f>
        <v>2</v>
      </c>
      <c r="DQ101" s="44" t="str">
        <f ca="1" xml:space="preserve"> VLOOKUP( $DL101,Tables!$B$2:$C$36,2)</f>
        <v>6</v>
      </c>
      <c r="DR101" t="str">
        <f t="shared" ca="1" si="397"/>
        <v xml:space="preserve"> 2</v>
      </c>
      <c r="DS101" t="str">
        <f t="shared" ca="1" si="398"/>
        <v xml:space="preserve"> 3</v>
      </c>
      <c r="DT101" t="str">
        <f t="shared" ca="1" si="399"/>
        <v xml:space="preserve"> 2</v>
      </c>
      <c r="DU101" t="str">
        <f t="shared" ca="1" si="400"/>
        <v xml:space="preserve"> 2</v>
      </c>
      <c r="DW101" s="194">
        <f xml:space="preserve"> SUM( DX$4:DX101, -DX101 )</f>
        <v>0</v>
      </c>
      <c r="DX101" s="194">
        <v>0</v>
      </c>
      <c r="DY101" s="194">
        <f xml:space="preserve"> SUM( DZ$4:DZ101, -DZ101 )</f>
        <v>13</v>
      </c>
      <c r="DZ101" s="194">
        <v>0</v>
      </c>
      <c r="EA101" s="194">
        <f xml:space="preserve"> SUM( EB$4:EB101, -EB101 )</f>
        <v>12</v>
      </c>
      <c r="EB101" s="194">
        <v>0</v>
      </c>
      <c r="EC101" s="194">
        <f xml:space="preserve"> SUM( ED$4:ED101, -ED101 )</f>
        <v>0</v>
      </c>
      <c r="ED101" s="194">
        <v>0</v>
      </c>
      <c r="EE101" s="194">
        <f xml:space="preserve"> SUM( EF$4:EF101, -EF101 )</f>
        <v>2.6</v>
      </c>
      <c r="EF101" s="194">
        <v>0</v>
      </c>
      <c r="EG101" s="194">
        <f xml:space="preserve"> SUM( EH$4:EH101, -EH101 )</f>
        <v>0</v>
      </c>
      <c r="EH101" s="194">
        <v>0</v>
      </c>
      <c r="EI101" s="194">
        <f xml:space="preserve"> SUM( EJ$4:EJ101, -EJ101 )</f>
        <v>32.4</v>
      </c>
      <c r="EJ101" s="194">
        <v>0</v>
      </c>
      <c r="EK101" s="194">
        <f xml:space="preserve"> SUM( EL$4:EL101, -EL101 )</f>
        <v>0</v>
      </c>
      <c r="EL101" s="194">
        <v>0</v>
      </c>
      <c r="EM101" s="194">
        <f xml:space="preserve"> SUM( EN$4:EN101, -EN101 )</f>
        <v>0</v>
      </c>
      <c r="EN101" s="194">
        <v>0</v>
      </c>
      <c r="EO101" s="194">
        <f xml:space="preserve"> SUM( EP$4:EP101, -EP101 )</f>
        <v>0</v>
      </c>
      <c r="EP101" s="194">
        <v>0</v>
      </c>
      <c r="EQ101" s="194">
        <f xml:space="preserve"> SUM( ER$4:ER101, -ER101 )</f>
        <v>24</v>
      </c>
      <c r="ER101" s="194">
        <v>0</v>
      </c>
      <c r="ES101" s="194">
        <f xml:space="preserve"> SUM( ET$4:ET101, -ET101 )</f>
        <v>0</v>
      </c>
      <c r="ET101" s="194">
        <v>0</v>
      </c>
      <c r="EU101" s="194">
        <f xml:space="preserve"> SUM( EV$4:EV101, -EV101 )</f>
        <v>10</v>
      </c>
      <c r="EV101" s="194">
        <v>0</v>
      </c>
      <c r="EW101" s="194">
        <f xml:space="preserve"> SUM( EX$4:EX101, -EX101 )</f>
        <v>6</v>
      </c>
      <c r="EX101" s="194">
        <v>0</v>
      </c>
      <c r="EZ101" t="str">
        <f t="shared" si="312"/>
        <v>DataCaster</v>
      </c>
      <c r="FB101" s="237">
        <f xml:space="preserve"> SUM( FC$4:FC101, -FC101 )</f>
        <v>4</v>
      </c>
      <c r="FC101" s="237">
        <v>0</v>
      </c>
      <c r="FD101" s="237">
        <f xml:space="preserve"> SUM( FE$4:FE101, -FE101 )</f>
        <v>1</v>
      </c>
      <c r="FE101" s="237">
        <f t="shared" si="427"/>
        <v>0</v>
      </c>
      <c r="FF101" t="str">
        <f t="shared" si="428"/>
        <v>DataCaster T3</v>
      </c>
    </row>
    <row r="102" spans="1:162">
      <c r="A102" s="71" t="s">
        <v>775</v>
      </c>
      <c r="B102" s="8" t="str">
        <f t="shared" si="401"/>
        <v>Std</v>
      </c>
      <c r="C102" s="63" t="str">
        <f t="shared" si="402"/>
        <v>Triple</v>
      </c>
      <c r="D102" s="63" t="str">
        <f xml:space="preserve"> IF( $A102=Tables!$A$470, $DG102, $DB102 )</f>
        <v>Rng-1, TL-1</v>
      </c>
      <c r="E102" s="81">
        <v>0</v>
      </c>
      <c r="F102" s="84">
        <v>0</v>
      </c>
      <c r="G102" s="105">
        <f xml:space="preserve"> (2) * (Military&gt;1)</f>
        <v>0</v>
      </c>
      <c r="H102" s="221">
        <f xml:space="preserve"> MIN( ($G102&gt;0) * ( 0.5*($CD102&gt;0) + 1.5*($CD102&gt;=2) + 4*(Military&gt;1) ), 9-7*($A102=Tables!$A$470) )</f>
        <v>0</v>
      </c>
      <c r="I102" s="72">
        <f t="shared" si="383"/>
        <v>7</v>
      </c>
      <c r="J102" s="86">
        <f t="shared" si="403"/>
        <v>0</v>
      </c>
      <c r="K102" s="194">
        <f t="shared" si="404"/>
        <v>0</v>
      </c>
      <c r="L102" s="194">
        <f t="shared" si="405"/>
        <v>0</v>
      </c>
      <c r="M102" s="48">
        <f t="shared" si="384"/>
        <v>0</v>
      </c>
      <c r="N102" s="48">
        <f t="shared" si="385"/>
        <v>0</v>
      </c>
      <c r="O102" s="204" t="str">
        <f t="shared" si="386"/>
        <v/>
      </c>
      <c r="P102" s="196" t="str">
        <f t="shared" si="387"/>
        <v/>
      </c>
      <c r="S102" s="223">
        <f t="shared" si="388"/>
        <v>12</v>
      </c>
      <c r="T102" t="str">
        <f t="shared" si="389"/>
        <v/>
      </c>
      <c r="Z102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2" s="160" t="str">
        <f t="shared" si="391"/>
        <v/>
      </c>
      <c r="AB102" s="161" t="str">
        <f t="shared" si="406"/>
        <v/>
      </c>
      <c r="AC102" s="160" t="str">
        <f t="shared" si="282"/>
        <v xml:space="preserve">                               </v>
      </c>
      <c r="AD102" s="160" t="str">
        <f t="shared" si="289"/>
        <v xml:space="preserve">           </v>
      </c>
      <c r="AE102" s="162" t="str">
        <f t="shared" si="232"/>
        <v>0</v>
      </c>
      <c r="AF102" s="160" t="str">
        <f t="shared" si="290"/>
        <v xml:space="preserve">           </v>
      </c>
      <c r="AG102" s="161" t="str">
        <f t="shared" si="233"/>
        <v>0</v>
      </c>
      <c r="AH102" s="160" t="str">
        <f t="shared" si="327"/>
        <v xml:space="preserve">           </v>
      </c>
      <c r="AI102" s="163" t="str">
        <f t="shared" si="234"/>
        <v>0</v>
      </c>
      <c r="AJ102" s="160" t="str">
        <f t="shared" si="283"/>
        <v xml:space="preserve">      </v>
      </c>
      <c r="AK102" s="163" t="str">
        <f t="shared" si="287"/>
        <v/>
      </c>
      <c r="AL102" s="163"/>
      <c r="AM102" s="153">
        <f t="shared" si="407"/>
        <v>0</v>
      </c>
      <c r="AN102" s="153"/>
      <c r="AO102" s="153">
        <f t="shared" si="392"/>
        <v>0</v>
      </c>
      <c r="AP102" s="153"/>
      <c r="AQ102">
        <f t="shared" si="393"/>
        <v>10</v>
      </c>
      <c r="AR102" s="68">
        <f xml:space="preserve"> BB102 + BS102 + CG102 + CK102 + 2*($A102=Tables!$A$453)</f>
        <v>0</v>
      </c>
      <c r="AS102" s="69">
        <f t="shared" si="394"/>
        <v>0</v>
      </c>
      <c r="AT102" t="s">
        <v>378</v>
      </c>
      <c r="AU102" s="8" t="str">
        <f>VLOOKUP( $AS102, Tables!$A$184:$H$193,  2 )</f>
        <v>Standard</v>
      </c>
      <c r="AV102" s="8" t="str">
        <f>VLOOKUP( $AS102, Tables!$A$184:$H$193,  3 )</f>
        <v>Std</v>
      </c>
      <c r="AW102" s="52">
        <f>VLOOKUP( $AS102, Tables!$A$184:$H$193, 4 )</f>
        <v>0</v>
      </c>
      <c r="AX102" s="8">
        <f>VLOOKUP( $AS102, Tables!$A$184:$H$193,  5 )</f>
        <v>1</v>
      </c>
      <c r="AY102" s="8">
        <f>VLOOKUP( $AS102, Tables!$A$184:$H$193, 6 )</f>
        <v>1</v>
      </c>
      <c r="AZ102" s="8"/>
      <c r="BA102" s="8" t="str">
        <f xml:space="preserve"> VLOOKUP( $AQ102, Tables!$C$366:$H$384, IF($BH102&gt;10,3,6) )</f>
        <v>SR</v>
      </c>
      <c r="BB102" s="60">
        <f>VLOOKUP( $AS102, Tables!$A$184:$Q$193, 9 )</f>
        <v>0</v>
      </c>
      <c r="BD102" t="s">
        <v>534</v>
      </c>
      <c r="BE102" t="str">
        <f xml:space="preserve"> VLOOKUP( $A102, Tables!$A$451:$F$474, 2, 0 )</f>
        <v>C</v>
      </c>
      <c r="BF102">
        <f xml:space="preserve"> VLOOKUP( $A102, Tables!$A$451:$F$474, 3, 0 )</f>
        <v>8</v>
      </c>
      <c r="BG102">
        <f xml:space="preserve"> VLOOKUP( $A102, Tables!$A$451:$F$474, 4, 0 )</f>
        <v>4</v>
      </c>
      <c r="BH102">
        <f xml:space="preserve"> VLOOKUP( $A102, Tables!$A$451:$F$474, 5, 0 )</f>
        <v>12</v>
      </c>
      <c r="BI102">
        <f xml:space="preserve"> VLOOKUP( $A102, Tables!$A$451:$F$474, 6, 0 )</f>
        <v>5</v>
      </c>
      <c r="BJ102" s="1">
        <f xml:space="preserve"> IF(  IFERROR(FIND("issile",A102),0)&gt;0,  "M",  IF(  IFERROR(FIND("SLM",A102),0)&gt;0,  1,  BU102  + 1*($A102=Tables!$A$452)  )  )</f>
        <v>3</v>
      </c>
      <c r="BK102">
        <f t="shared" si="395"/>
        <v>2</v>
      </c>
      <c r="BL102" t="str">
        <f>VLOOKUP( $BG102, Tables!$A$435:$H$447, 2 )</f>
        <v>Single</v>
      </c>
      <c r="BM102" t="s">
        <v>109</v>
      </c>
      <c r="BN102">
        <f xml:space="preserve"> IF(  IFERROR(FIND("SLM",A102),0)&gt;0,  1,  VLOOKUP( $C102, Tables!$B$435:$J$447, 9, 0 ) )</f>
        <v>3</v>
      </c>
      <c r="BO102">
        <f>VLOOKUP( $C102, Tables!$B$435:$H$447, 2, 0 )</f>
        <v>6</v>
      </c>
      <c r="BP102" t="str">
        <f>VLOOKUP( $C102, Tables!$B$435:$H$447, 3, 0 )</f>
        <v>T3</v>
      </c>
      <c r="BQ102">
        <f>VLOOKUP( $C102, Tables!$B$435:$H$447, 4, 0 )</f>
        <v>1</v>
      </c>
      <c r="BR102">
        <f>VLOOKUP( $C102, Tables!$B$435:$H$447, 5, 0 )</f>
        <v>1</v>
      </c>
      <c r="BS102">
        <f>VLOOKUP( $C102, Tables!$B$435:$H$447, 6, 0 )</f>
        <v>0</v>
      </c>
      <c r="BT102">
        <f>VLOOKUP( $C102, Tables!$B$435:$H$447, 7, 0 )</f>
        <v>1</v>
      </c>
      <c r="BU102">
        <f>VLOOKUP( $C102, Tables!$B$435:$I$447, 8, 0 )</f>
        <v>3</v>
      </c>
      <c r="BV102" t="s">
        <v>618</v>
      </c>
      <c r="BW102">
        <f>VLOOKUP( $D102, Tables!$B$388:$J$394, IF( $BH102&lt;10, 2,9), 0 )</f>
        <v>-1</v>
      </c>
      <c r="BX102">
        <f>VLOOKUP( $D102, Tables!$B$388:$I$394, 3, 0 )</f>
        <v>6</v>
      </c>
      <c r="BY102">
        <f>VLOOKUP( $D102, Tables!$B$388:$I$394, 4, 0 )</f>
        <v>-1</v>
      </c>
      <c r="BZ102">
        <f>VLOOKUP( $D102, Tables!$B$388:$I$394, 5, 0 )</f>
        <v>5</v>
      </c>
      <c r="CA102">
        <f>VLOOKUP( $D102, Tables!$B$388:$I$394, 6, 0 )</f>
        <v>-2</v>
      </c>
      <c r="CB102" s="85">
        <f>VLOOKUP( $D102, Tables!$B$388:$L$394, IF( $BH102&lt;10, 7, 10 ), 0 )</f>
        <v>0.5</v>
      </c>
      <c r="CC102" s="85">
        <f>VLOOKUP( $D102, Tables!$B$388:$L$394, IF( $BH102&lt;10, 8, 11 ), 0 )</f>
        <v>0.5</v>
      </c>
      <c r="CD102">
        <f t="shared" si="408"/>
        <v>5</v>
      </c>
      <c r="CE102">
        <f t="shared" si="409"/>
        <v>0</v>
      </c>
      <c r="CF102">
        <f t="shared" si="410"/>
        <v>0</v>
      </c>
      <c r="CG102">
        <f t="shared" si="411"/>
        <v>0</v>
      </c>
      <c r="CI102">
        <f t="shared" si="412"/>
        <v>0</v>
      </c>
      <c r="CJ102">
        <f t="shared" si="413"/>
        <v>0</v>
      </c>
      <c r="CK102">
        <f t="shared" si="414"/>
        <v>0</v>
      </c>
      <c r="CM102">
        <f t="shared" si="415"/>
        <v>4</v>
      </c>
      <c r="CN102" t="str">
        <f xml:space="preserve"> VLOOKUP( VLOOKUP( $A102, Tables!$A$451:$G$474, 7, 0 ), Tables!$A$435:$I$447, 2 )</f>
        <v>Triple</v>
      </c>
      <c r="CO102" t="str">
        <f xml:space="preserve"> VLOOKUP( MIN( $CM102+CO$98-$CO$98, $CW$98 ), Tables!$A$435:$I$447, 2 )</f>
        <v>Single</v>
      </c>
      <c r="CP102" t="str">
        <f xml:space="preserve"> VLOOKUP( MIN( $CM102+CP$98-$CO$98, $CW$98 ), Tables!$A$435:$I$447, 2 )</f>
        <v>Double</v>
      </c>
      <c r="CQ102" t="str">
        <f xml:space="preserve"> VLOOKUP( MIN( $CM102+CQ$98-$CO$98, $CW$98 ), Tables!$A$435:$I$447, 2 )</f>
        <v>Triple</v>
      </c>
      <c r="CR102" t="str">
        <f xml:space="preserve"> VLOOKUP( MIN( $CM102+CR$98-$CO$98, $CW$98 ), Tables!$A$435:$I$447, 2 )</f>
        <v>Quad</v>
      </c>
      <c r="CS102" t="str">
        <f xml:space="preserve"> VLOOKUP( MIN( $CM102+CS$98-$CO$98, $CW$98 ), Tables!$A$435:$I$447, 2 )</f>
        <v>Barbette</v>
      </c>
      <c r="CT102" t="str">
        <f xml:space="preserve"> VLOOKUP( MIN( $CM102+CT$98-$CO$98, $CW$98 ), Tables!$A$435:$I$447, 2 )</f>
        <v>Barbette, Double</v>
      </c>
      <c r="CU102" t="str">
        <f xml:space="preserve"> VLOOKUP( MIN( $CM102+CU$98-$CO$98, $CW$98 ), Tables!$A$435:$I$447, 2 )</f>
        <v>Bay</v>
      </c>
      <c r="CV102" t="str">
        <f xml:space="preserve"> VLOOKUP( MIN( $CM102+CV$98-$CO$98, $CW$98 ), Tables!$A$435:$I$447, 2 )</f>
        <v>Bay, Large</v>
      </c>
      <c r="CW102" t="str">
        <f xml:space="preserve"> VLOOKUP( MIN( $CM102+CW$98-$CO$98, $CW$98 ), Tables!$A$435:$I$447, 2 )</f>
        <v>Main</v>
      </c>
      <c r="CX102">
        <f t="shared" si="416"/>
        <v>0</v>
      </c>
      <c r="CY102">
        <f t="shared" si="396"/>
        <v>3</v>
      </c>
      <c r="CZ102">
        <f t="shared" si="417"/>
        <v>-3</v>
      </c>
      <c r="DA102">
        <f t="shared" si="418"/>
        <v>2</v>
      </c>
      <c r="DB102" t="str">
        <f t="shared" si="419"/>
        <v>Rng±0, TL±0</v>
      </c>
      <c r="DD102">
        <f t="shared" si="420"/>
        <v>12</v>
      </c>
      <c r="DE102" t="str">
        <f t="shared" si="421"/>
        <v>Rng-3, TL-3</v>
      </c>
      <c r="DF102" t="str">
        <f t="shared" si="422"/>
        <v>Rng-2, TL-2</v>
      </c>
      <c r="DG102" t="str">
        <f t="shared" si="423"/>
        <v>Rng-1, TL-1</v>
      </c>
      <c r="DH102" t="str">
        <f t="shared" si="424"/>
        <v>Rng±0, TL±0</v>
      </c>
      <c r="DI102" t="str">
        <f t="shared" si="425"/>
        <v>Rng+1, TL+1</v>
      </c>
      <c r="DJ102" t="str">
        <f t="shared" si="426"/>
        <v>Rng+2, TL+2</v>
      </c>
      <c r="DL102">
        <f ca="1" xml:space="preserve"> IF( $AV102=Tables!$C$189, 5, RANDBETWEEN(1,6)+RANDBETWEEN(1,6)-2 )</f>
        <v>7</v>
      </c>
      <c r="DM102">
        <f ca="1" xml:space="preserve"> IF( $AV102=Tables!$C$189, 0, RANDBETWEEN(1,6)-RANDBETWEEN(1,6)+ VLOOKUP( $AS102, Tables!$A$184:$Q$193,  14 ) )</f>
        <v>3</v>
      </c>
      <c r="DN102">
        <f ca="1" xml:space="preserve"> IF( $AV102=Tables!$C$189, 0, RANDBETWEEN(1,6)-RANDBETWEEN(1,6)+ VLOOKUP( $AS102, Tables!$A$184:$Q$193,  15 ) )</f>
        <v>1</v>
      </c>
      <c r="DO102">
        <f ca="1" xml:space="preserve"> IF( $AV102=Tables!$C$189, 0, RANDBETWEEN(1,6)-RANDBETWEEN(1,6)+ VLOOKUP( $AS102, Tables!$A$184:$Q$193,  16 ) )</f>
        <v>0</v>
      </c>
      <c r="DP102">
        <f ca="1" xml:space="preserve"> IF( $AV102=Tables!$C$189, 0, RANDBETWEEN(1,6)-RANDBETWEEN(1,6)+ VLOOKUP( $AS102, Tables!$A$184:$Q$193,  17 ) )</f>
        <v>1</v>
      </c>
      <c r="DQ102" s="44" t="str">
        <f ca="1" xml:space="preserve"> VLOOKUP( $DL102,Tables!$B$2:$C$36,2)</f>
        <v>7</v>
      </c>
      <c r="DR102" t="str">
        <f t="shared" ca="1" si="397"/>
        <v xml:space="preserve"> 3</v>
      </c>
      <c r="DS102" t="str">
        <f t="shared" ca="1" si="398"/>
        <v xml:space="preserve"> 1</v>
      </c>
      <c r="DT102" t="str">
        <f t="shared" ca="1" si="399"/>
        <v xml:space="preserve"> 0</v>
      </c>
      <c r="DU102" t="str">
        <f t="shared" ca="1" si="400"/>
        <v xml:space="preserve"> 1</v>
      </c>
      <c r="DW102" s="194">
        <f xml:space="preserve"> SUM( DX$4:DX102, -DX102 )</f>
        <v>0</v>
      </c>
      <c r="DX102" s="194">
        <v>0</v>
      </c>
      <c r="DY102" s="194">
        <f xml:space="preserve"> SUM( DZ$4:DZ102, -DZ102 )</f>
        <v>13</v>
      </c>
      <c r="DZ102" s="194">
        <v>0</v>
      </c>
      <c r="EA102" s="194">
        <f xml:space="preserve"> SUM( EB$4:EB102, -EB102 )</f>
        <v>12</v>
      </c>
      <c r="EB102" s="194">
        <v>0</v>
      </c>
      <c r="EC102" s="194">
        <f xml:space="preserve"> SUM( ED$4:ED102, -ED102 )</f>
        <v>0</v>
      </c>
      <c r="ED102" s="194">
        <v>0</v>
      </c>
      <c r="EE102" s="194">
        <f xml:space="preserve"> SUM( EF$4:EF102, -EF102 )</f>
        <v>2.6</v>
      </c>
      <c r="EF102" s="194">
        <v>0</v>
      </c>
      <c r="EG102" s="194">
        <f xml:space="preserve"> SUM( EH$4:EH102, -EH102 )</f>
        <v>0</v>
      </c>
      <c r="EH102" s="194">
        <v>0</v>
      </c>
      <c r="EI102" s="194">
        <f xml:space="preserve"> SUM( EJ$4:EJ102, -EJ102 )</f>
        <v>32.4</v>
      </c>
      <c r="EJ102" s="194">
        <v>0</v>
      </c>
      <c r="EK102" s="194">
        <f xml:space="preserve"> SUM( EL$4:EL102, -EL102 )</f>
        <v>0</v>
      </c>
      <c r="EL102" s="194">
        <v>0</v>
      </c>
      <c r="EM102" s="194">
        <f xml:space="preserve"> SUM( EN$4:EN102, -EN102 )</f>
        <v>0</v>
      </c>
      <c r="EN102" s="194">
        <v>0</v>
      </c>
      <c r="EO102" s="194">
        <f xml:space="preserve"> SUM( EP$4:EP102, -EP102 )</f>
        <v>0</v>
      </c>
      <c r="EP102" s="194">
        <v>0</v>
      </c>
      <c r="EQ102" s="194">
        <f xml:space="preserve"> SUM( ER$4:ER102, -ER102 )</f>
        <v>24</v>
      </c>
      <c r="ER102" s="194">
        <v>0</v>
      </c>
      <c r="ES102" s="194">
        <f xml:space="preserve"> SUM( ET$4:ET102, -ET102 )</f>
        <v>0</v>
      </c>
      <c r="ET102" s="194">
        <v>0</v>
      </c>
      <c r="EU102" s="194">
        <f xml:space="preserve"> SUM( EV$4:EV102, -EV102 )</f>
        <v>10</v>
      </c>
      <c r="EV102" s="194">
        <v>0</v>
      </c>
      <c r="EW102" s="194">
        <f xml:space="preserve"> SUM( EX$4:EX102, -EX102 )</f>
        <v>6</v>
      </c>
      <c r="EX102" s="194">
        <v>0</v>
      </c>
      <c r="EZ102" t="str">
        <f t="shared" si="312"/>
        <v>CommCaster</v>
      </c>
      <c r="FB102" s="237">
        <f xml:space="preserve"> SUM( FC$4:FC102, -FC102 )</f>
        <v>4</v>
      </c>
      <c r="FC102" s="237">
        <v>0</v>
      </c>
      <c r="FD102" s="237">
        <f xml:space="preserve"> SUM( FE$4:FE102, -FE102 )</f>
        <v>1</v>
      </c>
      <c r="FE102" s="237">
        <f t="shared" si="427"/>
        <v>0</v>
      </c>
      <c r="FF102" t="str">
        <f t="shared" si="428"/>
        <v>CommCaster T3</v>
      </c>
    </row>
    <row r="103" spans="1:162">
      <c r="A103" s="71" t="s">
        <v>1021</v>
      </c>
      <c r="B103" s="8" t="str">
        <f t="shared" si="401"/>
        <v>Std</v>
      </c>
      <c r="C103" s="63" t="str">
        <f t="shared" si="402"/>
        <v>Triple</v>
      </c>
      <c r="D103" s="63" t="str">
        <f xml:space="preserve"> IF( $A103=Tables!$A$470, $DG103, $DB103 )</f>
        <v>Rng±0, TL±0</v>
      </c>
      <c r="E103" s="81">
        <v>0</v>
      </c>
      <c r="F103" s="82">
        <v>0</v>
      </c>
      <c r="G103" s="105">
        <f xml:space="preserve"> 1 * (Military&gt;0) + 1 * (Military&gt;1)</f>
        <v>0</v>
      </c>
      <c r="H103" s="221">
        <f xml:space="preserve"> MIN( ($G103&gt;0) * ( 0.5*($CD103&gt;0) + 1.5*($CD103&gt;=2) + 4*(Military&gt;1) ), 9-7*($A103=Tables!$A$470) )</f>
        <v>0</v>
      </c>
      <c r="I103" s="72">
        <f t="shared" si="383"/>
        <v>10</v>
      </c>
      <c r="J103" s="86">
        <f t="shared" si="403"/>
        <v>0</v>
      </c>
      <c r="K103" s="194">
        <f t="shared" si="404"/>
        <v>0</v>
      </c>
      <c r="L103" s="194">
        <f t="shared" si="405"/>
        <v>0</v>
      </c>
      <c r="M103" s="48">
        <f t="shared" si="384"/>
        <v>0</v>
      </c>
      <c r="N103" s="48">
        <f t="shared" si="385"/>
        <v>0</v>
      </c>
      <c r="O103" s="204" t="str">
        <f t="shared" si="386"/>
        <v/>
      </c>
      <c r="P103" s="196" t="str">
        <f t="shared" si="387"/>
        <v/>
      </c>
      <c r="S103" s="223">
        <f t="shared" si="388"/>
        <v>12</v>
      </c>
      <c r="T103" t="str">
        <f t="shared" si="389"/>
        <v/>
      </c>
      <c r="Z103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3" s="160" t="str">
        <f t="shared" si="391"/>
        <v/>
      </c>
      <c r="AB103" s="161" t="str">
        <f t="shared" si="406"/>
        <v/>
      </c>
      <c r="AC103" s="160" t="str">
        <f t="shared" si="282"/>
        <v xml:space="preserve">                               </v>
      </c>
      <c r="AD103" s="160" t="str">
        <f t="shared" si="289"/>
        <v xml:space="preserve">           </v>
      </c>
      <c r="AE103" s="162" t="str">
        <f t="shared" si="232"/>
        <v>0</v>
      </c>
      <c r="AF103" s="160" t="str">
        <f t="shared" si="290"/>
        <v xml:space="preserve">           </v>
      </c>
      <c r="AG103" s="161" t="str">
        <f t="shared" si="233"/>
        <v>0</v>
      </c>
      <c r="AH103" s="160" t="str">
        <f t="shared" si="327"/>
        <v xml:space="preserve">           </v>
      </c>
      <c r="AI103" s="163" t="str">
        <f t="shared" si="234"/>
        <v>0</v>
      </c>
      <c r="AJ103" s="160" t="str">
        <f t="shared" si="283"/>
        <v xml:space="preserve">      </v>
      </c>
      <c r="AK103" s="163" t="str">
        <f t="shared" si="287"/>
        <v/>
      </c>
      <c r="AL103" s="163"/>
      <c r="AM103" s="153">
        <f t="shared" si="407"/>
        <v>0</v>
      </c>
      <c r="AN103" s="153"/>
      <c r="AO103" s="153">
        <f t="shared" si="392"/>
        <v>0</v>
      </c>
      <c r="AP103" s="153"/>
      <c r="AQ103">
        <f t="shared" si="393"/>
        <v>7</v>
      </c>
      <c r="AR103" s="68">
        <f xml:space="preserve"> BB103 + BS103 + CG103 + CK103 + 2*($A103=Tables!$A$453)</f>
        <v>2</v>
      </c>
      <c r="AS103" s="69">
        <f t="shared" si="394"/>
        <v>0</v>
      </c>
      <c r="AT103" t="s">
        <v>378</v>
      </c>
      <c r="AU103" s="8" t="str">
        <f>VLOOKUP( $AS103, Tables!$A$184:$H$193,  2 )</f>
        <v>Standard</v>
      </c>
      <c r="AV103" s="8" t="str">
        <f>VLOOKUP( $AS103, Tables!$A$184:$H$193,  3 )</f>
        <v>Std</v>
      </c>
      <c r="AW103" s="52">
        <f>VLOOKUP( $AS103, Tables!$A$184:$H$193, 4 )</f>
        <v>0</v>
      </c>
      <c r="AX103" s="8">
        <f>VLOOKUP( $AS103, Tables!$A$184:$H$193,  5 )</f>
        <v>1</v>
      </c>
      <c r="AY103" s="8">
        <f>VLOOKUP( $AS103, Tables!$A$184:$H$193, 6 )</f>
        <v>1</v>
      </c>
      <c r="AZ103" s="8"/>
      <c r="BA103" s="8" t="str">
        <f xml:space="preserve"> VLOOKUP( $AQ103, Tables!$C$366:$H$384, IF($BH103&gt;10,3,6) )</f>
        <v>Vd</v>
      </c>
      <c r="BB103" s="60">
        <f>VLOOKUP( $AS103, Tables!$A$184:$Q$193, 9 )</f>
        <v>0</v>
      </c>
      <c r="BD103" t="s">
        <v>534</v>
      </c>
      <c r="BE103" t="str">
        <f xml:space="preserve"> VLOOKUP( $A103, Tables!$A$451:$F$474, 2, 0 )</f>
        <v>L</v>
      </c>
      <c r="BF103">
        <f xml:space="preserve"> VLOOKUP( $A103, Tables!$A$451:$F$474, 3, 0 )</f>
        <v>10</v>
      </c>
      <c r="BG103">
        <f xml:space="preserve"> VLOOKUP( $A103, Tables!$A$451:$F$474, 4, 0 )</f>
        <v>4</v>
      </c>
      <c r="BH103">
        <f xml:space="preserve"> VLOOKUP( $A103, Tables!$A$451:$F$474, 5, 0 )</f>
        <v>7</v>
      </c>
      <c r="BI103">
        <f xml:space="preserve"> VLOOKUP( $A103, Tables!$A$451:$F$474, 6, 0 )</f>
        <v>0.5</v>
      </c>
      <c r="BJ103" s="1">
        <f xml:space="preserve"> IF(  IFERROR(FIND("issile",A103),0)&gt;0,  "M",  IF(  IFERROR(FIND("SLM",A103),0)&gt;0,  1,  BU103  + 1*($A103=Tables!$A$452)  )  )</f>
        <v>3</v>
      </c>
      <c r="BK103">
        <f t="shared" si="395"/>
        <v>2</v>
      </c>
      <c r="BL103" t="str">
        <f>VLOOKUP( $BG103, Tables!$A$435:$H$447, 2 )</f>
        <v>Single</v>
      </c>
      <c r="BM103" t="s">
        <v>109</v>
      </c>
      <c r="BN103">
        <f xml:space="preserve"> IF(  IFERROR(FIND("SLM",A103),0)&gt;0,  1,  VLOOKUP( $C103, Tables!$B$435:$J$447, 9, 0 ) )</f>
        <v>3</v>
      </c>
      <c r="BO103">
        <f>VLOOKUP( $C103, Tables!$B$435:$H$447, 2, 0 )</f>
        <v>6</v>
      </c>
      <c r="BP103" t="str">
        <f>VLOOKUP( $C103, Tables!$B$435:$H$447, 3, 0 )</f>
        <v>T3</v>
      </c>
      <c r="BQ103">
        <f>VLOOKUP( $C103, Tables!$B$435:$H$447, 4, 0 )</f>
        <v>1</v>
      </c>
      <c r="BR103">
        <f>VLOOKUP( $C103, Tables!$B$435:$H$447, 5, 0 )</f>
        <v>1</v>
      </c>
      <c r="BS103">
        <f>VLOOKUP( $C103, Tables!$B$435:$H$447, 6, 0 )</f>
        <v>0</v>
      </c>
      <c r="BT103">
        <f>VLOOKUP( $C103, Tables!$B$435:$H$447, 7, 0 )</f>
        <v>1</v>
      </c>
      <c r="BU103">
        <f>VLOOKUP( $C103, Tables!$B$435:$I$447, 8, 0 )</f>
        <v>3</v>
      </c>
      <c r="BV103" t="s">
        <v>618</v>
      </c>
      <c r="BW103">
        <f>VLOOKUP( $D103, Tables!$B$388:$J$394, IF( $BH103&lt;10, 2,9), 0 )</f>
        <v>0</v>
      </c>
      <c r="BX103">
        <f>VLOOKUP( $D103, Tables!$B$388:$I$394, 3, 0 )</f>
        <v>7</v>
      </c>
      <c r="BY103">
        <f>VLOOKUP( $D103, Tables!$B$388:$I$394, 4, 0 )</f>
        <v>0</v>
      </c>
      <c r="BZ103">
        <f>VLOOKUP( $D103, Tables!$B$388:$I$394, 5, 0 )</f>
        <v>7</v>
      </c>
      <c r="CA103">
        <f>VLOOKUP( $D103, Tables!$B$388:$I$394, 6, 0 )</f>
        <v>0</v>
      </c>
      <c r="CB103" s="85">
        <f>VLOOKUP( $D103, Tables!$B$388:$L$394, IF( $BH103&lt;10, 7, 10 ), 0 )</f>
        <v>1</v>
      </c>
      <c r="CC103" s="85">
        <f>VLOOKUP( $D103, Tables!$B$388:$L$394, IF( $BH103&lt;10, 8, 11 ), 0 )</f>
        <v>1</v>
      </c>
      <c r="CD103">
        <f t="shared" si="408"/>
        <v>2</v>
      </c>
      <c r="CE103">
        <f t="shared" si="409"/>
        <v>0</v>
      </c>
      <c r="CF103">
        <f t="shared" si="410"/>
        <v>0</v>
      </c>
      <c r="CG103">
        <f t="shared" si="411"/>
        <v>0</v>
      </c>
      <c r="CI103">
        <f t="shared" si="412"/>
        <v>0</v>
      </c>
      <c r="CJ103">
        <f t="shared" si="413"/>
        <v>0</v>
      </c>
      <c r="CK103">
        <f t="shared" si="414"/>
        <v>0</v>
      </c>
      <c r="CM103">
        <f t="shared" si="415"/>
        <v>4</v>
      </c>
      <c r="CN103" t="str">
        <f xml:space="preserve"> VLOOKUP( VLOOKUP( $A103, Tables!$A$451:$G$474, 7, 0 ), Tables!$A$435:$I$447, 2 )</f>
        <v>Triple</v>
      </c>
      <c r="CO103" t="str">
        <f xml:space="preserve"> VLOOKUP( MIN( $CM103+CO$98-$CO$98, $CW$98 ), Tables!$A$435:$I$447, 2 )</f>
        <v>Single</v>
      </c>
      <c r="CP103" t="str">
        <f xml:space="preserve"> VLOOKUP( MIN( $CM103+CP$98-$CO$98, $CW$98 ), Tables!$A$435:$I$447, 2 )</f>
        <v>Double</v>
      </c>
      <c r="CQ103" t="str">
        <f xml:space="preserve"> VLOOKUP( MIN( $CM103+CQ$98-$CO$98, $CW$98 ), Tables!$A$435:$I$447, 2 )</f>
        <v>Triple</v>
      </c>
      <c r="CR103" t="str">
        <f xml:space="preserve"> VLOOKUP( MIN( $CM103+CR$98-$CO$98, $CW$98 ), Tables!$A$435:$I$447, 2 )</f>
        <v>Quad</v>
      </c>
      <c r="CS103" t="str">
        <f xml:space="preserve"> VLOOKUP( MIN( $CM103+CS$98-$CO$98, $CW$98 ), Tables!$A$435:$I$447, 2 )</f>
        <v>Barbette</v>
      </c>
      <c r="CT103" t="str">
        <f xml:space="preserve"> VLOOKUP( MIN( $CM103+CT$98-$CO$98, $CW$98 ), Tables!$A$435:$I$447, 2 )</f>
        <v>Barbette, Double</v>
      </c>
      <c r="CU103" t="str">
        <f xml:space="preserve"> VLOOKUP( MIN( $CM103+CU$98-$CO$98, $CW$98 ), Tables!$A$435:$I$447, 2 )</f>
        <v>Bay</v>
      </c>
      <c r="CV103" t="str">
        <f xml:space="preserve"> VLOOKUP( MIN( $CM103+CV$98-$CO$98, $CW$98 ), Tables!$A$435:$I$447, 2 )</f>
        <v>Bay, Large</v>
      </c>
      <c r="CW103" t="str">
        <f xml:space="preserve"> VLOOKUP( MIN( $CM103+CW$98-$CO$98, $CW$98 ), Tables!$A$435:$I$447, 2 )</f>
        <v>Main</v>
      </c>
      <c r="CX103">
        <f t="shared" si="416"/>
        <v>0</v>
      </c>
      <c r="CY103">
        <f t="shared" si="396"/>
        <v>1</v>
      </c>
      <c r="CZ103">
        <f t="shared" si="417"/>
        <v>-2</v>
      </c>
      <c r="DA103">
        <f t="shared" si="418"/>
        <v>3</v>
      </c>
      <c r="DB103" t="str">
        <f t="shared" si="419"/>
        <v>Rng±0, TL±0</v>
      </c>
      <c r="DD103">
        <f t="shared" si="420"/>
        <v>7</v>
      </c>
      <c r="DE103" t="str">
        <f t="shared" si="421"/>
        <v>Rng-2, TL-2</v>
      </c>
      <c r="DF103" t="str">
        <f t="shared" si="422"/>
        <v>Rng-1, TL-1</v>
      </c>
      <c r="DG103" t="str">
        <f t="shared" si="423"/>
        <v>Rng±0, TL±0</v>
      </c>
      <c r="DH103" t="str">
        <f t="shared" si="424"/>
        <v>Rng+1, TL+1</v>
      </c>
      <c r="DI103" t="str">
        <f t="shared" si="425"/>
        <v>Rng+2, TL+2</v>
      </c>
      <c r="DJ103" t="str">
        <f t="shared" si="426"/>
        <v>Rng+3, TL+3</v>
      </c>
      <c r="DL103">
        <f ca="1" xml:space="preserve"> IF( $AV103=Tables!$C$189, 5, RANDBETWEEN(1,6)+RANDBETWEEN(1,6)-2 )</f>
        <v>5</v>
      </c>
      <c r="DM103">
        <f ca="1" xml:space="preserve"> IF( $AV103=Tables!$C$189, 0, RANDBETWEEN(1,6)-RANDBETWEEN(1,6)+ VLOOKUP( $AS103, Tables!$A$184:$Q$193,  14 ) )</f>
        <v>-2</v>
      </c>
      <c r="DN103">
        <f ca="1" xml:space="preserve"> IF( $AV103=Tables!$C$189, 0, RANDBETWEEN(1,6)-RANDBETWEEN(1,6)+ VLOOKUP( $AS103, Tables!$A$184:$Q$193,  15 ) )</f>
        <v>0</v>
      </c>
      <c r="DO103">
        <f ca="1" xml:space="preserve"> IF( $AV103=Tables!$C$189, 0, RANDBETWEEN(1,6)-RANDBETWEEN(1,6)+ VLOOKUP( $AS103, Tables!$A$184:$Q$193,  16 ) )</f>
        <v>2</v>
      </c>
      <c r="DP103">
        <f ca="1" xml:space="preserve"> IF( $AV103=Tables!$C$189, 0, RANDBETWEEN(1,6)-RANDBETWEEN(1,6)+ VLOOKUP( $AS103, Tables!$A$184:$Q$193,  17 ) )</f>
        <v>-3</v>
      </c>
      <c r="DQ103" s="44" t="str">
        <f ca="1" xml:space="preserve"> VLOOKUP( $DL103,Tables!$B$2:$C$36,2)</f>
        <v>5</v>
      </c>
      <c r="DR103" t="str">
        <f t="shared" ca="1" si="397"/>
        <v>-2</v>
      </c>
      <c r="DS103" t="str">
        <f t="shared" ca="1" si="398"/>
        <v xml:space="preserve"> 0</v>
      </c>
      <c r="DT103" t="str">
        <f t="shared" ca="1" si="399"/>
        <v xml:space="preserve"> 2</v>
      </c>
      <c r="DU103" t="str">
        <f t="shared" ca="1" si="400"/>
        <v>-3</v>
      </c>
      <c r="DW103" s="194">
        <f xml:space="preserve"> SUM( DX$4:DX103, -DX103 )</f>
        <v>0</v>
      </c>
      <c r="DX103" s="194">
        <v>0</v>
      </c>
      <c r="DY103" s="194">
        <f xml:space="preserve"> SUM( DZ$4:DZ103, -DZ103 )</f>
        <v>13</v>
      </c>
      <c r="DZ103" s="194">
        <v>0</v>
      </c>
      <c r="EA103" s="194">
        <f xml:space="preserve"> SUM( EB$4:EB103, -EB103 )</f>
        <v>12</v>
      </c>
      <c r="EB103" s="194">
        <v>0</v>
      </c>
      <c r="EC103" s="194">
        <f xml:space="preserve"> SUM( ED$4:ED103, -ED103 )</f>
        <v>0</v>
      </c>
      <c r="ED103" s="194">
        <v>0</v>
      </c>
      <c r="EE103" s="194">
        <f xml:space="preserve"> SUM( EF$4:EF103, -EF103 )</f>
        <v>2.6</v>
      </c>
      <c r="EF103" s="194">
        <v>0</v>
      </c>
      <c r="EG103" s="194">
        <f xml:space="preserve"> SUM( EH$4:EH103, -EH103 )</f>
        <v>0</v>
      </c>
      <c r="EH103" s="194">
        <v>0</v>
      </c>
      <c r="EI103" s="194">
        <f xml:space="preserve"> SUM( EJ$4:EJ103, -EJ103 )</f>
        <v>32.4</v>
      </c>
      <c r="EJ103" s="194">
        <v>0</v>
      </c>
      <c r="EK103" s="194">
        <f xml:space="preserve"> SUM( EL$4:EL103, -EL103 )</f>
        <v>0</v>
      </c>
      <c r="EL103" s="194">
        <v>0</v>
      </c>
      <c r="EM103" s="194">
        <f xml:space="preserve"> SUM( EN$4:EN103, -EN103 )</f>
        <v>0</v>
      </c>
      <c r="EN103" s="194">
        <v>0</v>
      </c>
      <c r="EO103" s="194">
        <f xml:space="preserve"> SUM( EP$4:EP103, -EP103 )</f>
        <v>0</v>
      </c>
      <c r="EP103" s="194">
        <v>0</v>
      </c>
      <c r="EQ103" s="194">
        <f xml:space="preserve"> SUM( ER$4:ER103, -ER103 )</f>
        <v>24</v>
      </c>
      <c r="ER103" s="194">
        <v>0</v>
      </c>
      <c r="ES103" s="194">
        <f xml:space="preserve"> SUM( ET$4:ET103, -ET103 )</f>
        <v>0</v>
      </c>
      <c r="ET103" s="194">
        <v>0</v>
      </c>
      <c r="EU103" s="194">
        <f xml:space="preserve"> SUM( EV$4:EV103, -EV103 )</f>
        <v>10</v>
      </c>
      <c r="EV103" s="194">
        <v>0</v>
      </c>
      <c r="EW103" s="194">
        <f xml:space="preserve"> SUM( EX$4:EX103, -EX103 )</f>
        <v>6</v>
      </c>
      <c r="EX103" s="194">
        <v>0</v>
      </c>
      <c r="EZ103" t="str">
        <f t="shared" si="312"/>
        <v>Beam Laser</v>
      </c>
      <c r="FB103" s="237">
        <f xml:space="preserve"> SUM( FC$4:FC103, -FC103 )</f>
        <v>4</v>
      </c>
      <c r="FC103" s="237">
        <v>0</v>
      </c>
      <c r="FD103" s="237">
        <f xml:space="preserve"> SUM( FE$4:FE103, -FE103 )</f>
        <v>1</v>
      </c>
      <c r="FE103" s="237">
        <f t="shared" si="427"/>
        <v>0</v>
      </c>
      <c r="FF103" t="str">
        <f t="shared" si="428"/>
        <v>Beam Laser T3</v>
      </c>
    </row>
    <row r="104" spans="1:162">
      <c r="A104" s="71" t="s">
        <v>319</v>
      </c>
      <c r="B104" s="8" t="str">
        <f t="shared" si="401"/>
        <v>Std</v>
      </c>
      <c r="C104" s="63" t="str">
        <f t="shared" si="402"/>
        <v>Triple</v>
      </c>
      <c r="D104" s="63" t="str">
        <f xml:space="preserve"> IF( $A104=Tables!$A$470, $DG104, $DB104 )</f>
        <v>Rng±0, TL±0</v>
      </c>
      <c r="E104" s="81">
        <v>0</v>
      </c>
      <c r="F104" s="82">
        <v>0</v>
      </c>
      <c r="G104" s="199">
        <f xml:space="preserve"> 1 * (Military&gt;0) + 1 * (Military&gt;1)</f>
        <v>0</v>
      </c>
      <c r="H104" s="221">
        <f xml:space="preserve"> MIN( ($G104&gt;0) * ( 0.5*($CD104&gt;0) + 1.5*($CD104&gt;=2) + 4*(Military&gt;1) ), 9-7*($A104=Tables!$A$470) )</f>
        <v>0</v>
      </c>
      <c r="I104" s="72">
        <f t="shared" si="383"/>
        <v>9</v>
      </c>
      <c r="J104" s="86">
        <f t="shared" si="403"/>
        <v>0</v>
      </c>
      <c r="K104" s="194">
        <f t="shared" si="404"/>
        <v>0</v>
      </c>
      <c r="L104" s="194">
        <f t="shared" si="405"/>
        <v>0</v>
      </c>
      <c r="M104" s="48">
        <f t="shared" si="384"/>
        <v>0</v>
      </c>
      <c r="N104" s="48">
        <f t="shared" si="385"/>
        <v>0</v>
      </c>
      <c r="O104" s="204" t="str">
        <f t="shared" si="386"/>
        <v/>
      </c>
      <c r="P104" s="196" t="str">
        <f t="shared" si="387"/>
        <v/>
      </c>
      <c r="S104" s="223">
        <f t="shared" si="388"/>
        <v>12</v>
      </c>
      <c r="T104" t="str">
        <f t="shared" si="389"/>
        <v/>
      </c>
      <c r="Z104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4" s="160" t="str">
        <f t="shared" si="391"/>
        <v/>
      </c>
      <c r="AB104" s="161" t="str">
        <f t="shared" si="406"/>
        <v/>
      </c>
      <c r="AC104" s="160" t="str">
        <f t="shared" si="282"/>
        <v xml:space="preserve">                               </v>
      </c>
      <c r="AD104" s="160" t="str">
        <f t="shared" si="289"/>
        <v xml:space="preserve">           </v>
      </c>
      <c r="AE104" s="162" t="str">
        <f t="shared" si="232"/>
        <v>0</v>
      </c>
      <c r="AF104" s="160" t="str">
        <f t="shared" si="290"/>
        <v xml:space="preserve">           </v>
      </c>
      <c r="AG104" s="161" t="str">
        <f t="shared" si="233"/>
        <v>0</v>
      </c>
      <c r="AH104" s="160" t="str">
        <f t="shared" si="327"/>
        <v xml:space="preserve">           </v>
      </c>
      <c r="AI104" s="163" t="str">
        <f t="shared" si="234"/>
        <v>0</v>
      </c>
      <c r="AJ104" s="160" t="str">
        <f t="shared" si="283"/>
        <v xml:space="preserve">      </v>
      </c>
      <c r="AK104" s="163" t="str">
        <f t="shared" si="287"/>
        <v/>
      </c>
      <c r="AL104" s="163"/>
      <c r="AM104" s="153">
        <f t="shared" si="407"/>
        <v>0</v>
      </c>
      <c r="AN104" s="153"/>
      <c r="AO104" s="153">
        <f t="shared" si="392"/>
        <v>0</v>
      </c>
      <c r="AP104" s="153"/>
      <c r="AQ104">
        <f t="shared" si="393"/>
        <v>7</v>
      </c>
      <c r="AR104" s="68">
        <f xml:space="preserve"> BB104 + BS104 + CG104 + CK104 + 2*($A104=Tables!$A$453)</f>
        <v>0</v>
      </c>
      <c r="AS104" s="69">
        <f t="shared" si="394"/>
        <v>0</v>
      </c>
      <c r="AT104" t="s">
        <v>378</v>
      </c>
      <c r="AU104" s="8" t="str">
        <f>VLOOKUP( $AS104, Tables!$A$184:$H$193,  2 )</f>
        <v>Standard</v>
      </c>
      <c r="AV104" s="8" t="str">
        <f>VLOOKUP( $AS104, Tables!$A$184:$H$193,  3 )</f>
        <v>Std</v>
      </c>
      <c r="AW104" s="52">
        <f>VLOOKUP( $AS104, Tables!$A$184:$H$193, 4 )</f>
        <v>0</v>
      </c>
      <c r="AX104" s="8">
        <f>VLOOKUP( $AS104, Tables!$A$184:$H$193,  5 )</f>
        <v>1</v>
      </c>
      <c r="AY104" s="8">
        <f>VLOOKUP( $AS104, Tables!$A$184:$H$193, 6 )</f>
        <v>1</v>
      </c>
      <c r="AZ104" s="8"/>
      <c r="BA104" s="8" t="str">
        <f xml:space="preserve"> VLOOKUP( $AQ104, Tables!$C$366:$H$384, IF($BH104&gt;10,3,6) )</f>
        <v>Vd</v>
      </c>
      <c r="BB104" s="60">
        <f>VLOOKUP( $AS104, Tables!$A$184:$Q$193, 9 )</f>
        <v>0</v>
      </c>
      <c r="BD104" t="s">
        <v>534</v>
      </c>
      <c r="BE104" t="str">
        <f xml:space="preserve"> VLOOKUP( $A104, Tables!$A$451:$F$474, 2, 0 )</f>
        <v>S</v>
      </c>
      <c r="BF104">
        <f xml:space="preserve"> VLOOKUP( $A104, Tables!$A$451:$F$474, 3, 0 )</f>
        <v>9</v>
      </c>
      <c r="BG104">
        <f xml:space="preserve"> VLOOKUP( $A104, Tables!$A$451:$F$474, 4, 0 )</f>
        <v>4</v>
      </c>
      <c r="BH104">
        <f xml:space="preserve"> VLOOKUP( $A104, Tables!$A$451:$F$474, 5, 0 )</f>
        <v>7</v>
      </c>
      <c r="BI104">
        <f xml:space="preserve"> VLOOKUP( $A104, Tables!$A$451:$F$474, 6, 0 )</f>
        <v>0.1</v>
      </c>
      <c r="BJ104" s="1">
        <f xml:space="preserve"> IF(  IFERROR(FIND("issile",A104),0)&gt;0,  "M",  IF(  IFERROR(FIND("SLM",A104),0)&gt;0,  1,  BU104  + 1*($A104=Tables!$A$452)  )  )</f>
        <v>3</v>
      </c>
      <c r="BK104">
        <f t="shared" si="395"/>
        <v>2</v>
      </c>
      <c r="BL104" t="str">
        <f>VLOOKUP( $BG104, Tables!$A$435:$H$447, 2 )</f>
        <v>Single</v>
      </c>
      <c r="BM104" t="s">
        <v>109</v>
      </c>
      <c r="BN104">
        <f xml:space="preserve"> IF(  IFERROR(FIND("SLM",A104),0)&gt;0,  1,  VLOOKUP( $C104, Tables!$B$435:$J$447, 9, 0 ) )</f>
        <v>3</v>
      </c>
      <c r="BO104">
        <f>VLOOKUP( $C104, Tables!$B$435:$H$447, 2, 0 )</f>
        <v>6</v>
      </c>
      <c r="BP104" t="str">
        <f>VLOOKUP( $C104, Tables!$B$435:$H$447, 3, 0 )</f>
        <v>T3</v>
      </c>
      <c r="BQ104">
        <f>VLOOKUP( $C104, Tables!$B$435:$H$447, 4, 0 )</f>
        <v>1</v>
      </c>
      <c r="BR104">
        <f>VLOOKUP( $C104, Tables!$B$435:$H$447, 5, 0 )</f>
        <v>1</v>
      </c>
      <c r="BS104">
        <f>VLOOKUP( $C104, Tables!$B$435:$H$447, 6, 0 )</f>
        <v>0</v>
      </c>
      <c r="BT104">
        <f>VLOOKUP( $C104, Tables!$B$435:$H$447, 7, 0 )</f>
        <v>1</v>
      </c>
      <c r="BU104">
        <f>VLOOKUP( $C104, Tables!$B$435:$I$447, 8, 0 )</f>
        <v>3</v>
      </c>
      <c r="BV104" t="s">
        <v>618</v>
      </c>
      <c r="BW104">
        <f>VLOOKUP( $D104, Tables!$B$388:$J$394, IF( $BH104&lt;10, 2,9), 0 )</f>
        <v>0</v>
      </c>
      <c r="BX104">
        <f>VLOOKUP( $D104, Tables!$B$388:$I$394, 3, 0 )</f>
        <v>7</v>
      </c>
      <c r="BY104">
        <f>VLOOKUP( $D104, Tables!$B$388:$I$394, 4, 0 )</f>
        <v>0</v>
      </c>
      <c r="BZ104">
        <f>VLOOKUP( $D104, Tables!$B$388:$I$394, 5, 0 )</f>
        <v>7</v>
      </c>
      <c r="CA104">
        <f>VLOOKUP( $D104, Tables!$B$388:$I$394, 6, 0 )</f>
        <v>0</v>
      </c>
      <c r="CB104" s="85">
        <f>VLOOKUP( $D104, Tables!$B$388:$L$394, IF( $BH104&lt;10, 7, 10 ), 0 )</f>
        <v>1</v>
      </c>
      <c r="CC104" s="85">
        <f>VLOOKUP( $D104, Tables!$B$388:$L$394, IF( $BH104&lt;10, 8, 11 ), 0 )</f>
        <v>1</v>
      </c>
      <c r="CD104">
        <f t="shared" si="408"/>
        <v>3</v>
      </c>
      <c r="CE104">
        <f t="shared" si="409"/>
        <v>0</v>
      </c>
      <c r="CF104">
        <f t="shared" si="410"/>
        <v>0</v>
      </c>
      <c r="CG104">
        <f t="shared" si="411"/>
        <v>0</v>
      </c>
      <c r="CI104">
        <f t="shared" si="412"/>
        <v>0</v>
      </c>
      <c r="CJ104">
        <f t="shared" si="413"/>
        <v>0</v>
      </c>
      <c r="CK104">
        <f t="shared" si="414"/>
        <v>0</v>
      </c>
      <c r="CM104">
        <f t="shared" si="415"/>
        <v>4</v>
      </c>
      <c r="CN104" t="str">
        <f xml:space="preserve"> VLOOKUP( VLOOKUP( $A104, Tables!$A$451:$G$474, 7, 0 ), Tables!$A$435:$I$447, 2 )</f>
        <v>Triple</v>
      </c>
      <c r="CO104" t="str">
        <f xml:space="preserve"> VLOOKUP( MIN( $CM104+CO$98-$CO$98, $CW$98 ), Tables!$A$435:$I$447, 2 )</f>
        <v>Single</v>
      </c>
      <c r="CP104" t="str">
        <f xml:space="preserve"> VLOOKUP( MIN( $CM104+CP$98-$CO$98, $CW$98 ), Tables!$A$435:$I$447, 2 )</f>
        <v>Double</v>
      </c>
      <c r="CQ104" t="str">
        <f xml:space="preserve"> VLOOKUP( MIN( $CM104+CQ$98-$CO$98, $CW$98 ), Tables!$A$435:$I$447, 2 )</f>
        <v>Triple</v>
      </c>
      <c r="CR104" t="str">
        <f xml:space="preserve"> VLOOKUP( MIN( $CM104+CR$98-$CO$98, $CW$98 ), Tables!$A$435:$I$447, 2 )</f>
        <v>Quad</v>
      </c>
      <c r="CS104" t="str">
        <f xml:space="preserve"> VLOOKUP( MIN( $CM104+CS$98-$CO$98, $CW$98 ), Tables!$A$435:$I$447, 2 )</f>
        <v>Barbette</v>
      </c>
      <c r="CT104" t="str">
        <f xml:space="preserve"> VLOOKUP( MIN( $CM104+CT$98-$CO$98, $CW$98 ), Tables!$A$435:$I$447, 2 )</f>
        <v>Barbette, Double</v>
      </c>
      <c r="CU104" t="str">
        <f xml:space="preserve"> VLOOKUP( MIN( $CM104+CU$98-$CO$98, $CW$98 ), Tables!$A$435:$I$447, 2 )</f>
        <v>Bay</v>
      </c>
      <c r="CV104" t="str">
        <f xml:space="preserve"> VLOOKUP( MIN( $CM104+CV$98-$CO$98, $CW$98 ), Tables!$A$435:$I$447, 2 )</f>
        <v>Bay, Large</v>
      </c>
      <c r="CW104" t="str">
        <f xml:space="preserve"> VLOOKUP( MIN( $CM104+CW$98-$CO$98, $CW$98 ), Tables!$A$435:$I$447, 2 )</f>
        <v>Main</v>
      </c>
      <c r="CX104">
        <f t="shared" si="416"/>
        <v>0</v>
      </c>
      <c r="CY104">
        <f t="shared" si="396"/>
        <v>2</v>
      </c>
      <c r="CZ104">
        <f t="shared" si="417"/>
        <v>-2</v>
      </c>
      <c r="DA104">
        <f t="shared" si="418"/>
        <v>3</v>
      </c>
      <c r="DB104" t="str">
        <f t="shared" si="419"/>
        <v>Rng±0, TL±0</v>
      </c>
      <c r="DD104">
        <f t="shared" si="420"/>
        <v>7</v>
      </c>
      <c r="DE104" t="str">
        <f t="shared" si="421"/>
        <v>Rng-2, TL-2</v>
      </c>
      <c r="DF104" t="str">
        <f t="shared" si="422"/>
        <v>Rng-1, TL-1</v>
      </c>
      <c r="DG104" t="str">
        <f t="shared" si="423"/>
        <v>Rng±0, TL±0</v>
      </c>
      <c r="DH104" t="str">
        <f t="shared" si="424"/>
        <v>Rng+1, TL+1</v>
      </c>
      <c r="DI104" t="str">
        <f t="shared" si="425"/>
        <v>Rng+2, TL+2</v>
      </c>
      <c r="DJ104" t="str">
        <f t="shared" si="426"/>
        <v>Rng+3, TL+3</v>
      </c>
      <c r="DL104">
        <f ca="1" xml:space="preserve"> IF( $AV104=Tables!$C$189, 5, RANDBETWEEN(1,6)+RANDBETWEEN(1,6)-2 )</f>
        <v>7</v>
      </c>
      <c r="DM104">
        <f ca="1" xml:space="preserve"> IF( $AV104=Tables!$C$189, 0, RANDBETWEEN(1,6)-RANDBETWEEN(1,6)+ VLOOKUP( $AS104, Tables!$A$184:$Q$193,  14 ) )</f>
        <v>3</v>
      </c>
      <c r="DN104">
        <f ca="1" xml:space="preserve"> IF( $AV104=Tables!$C$189, 0, RANDBETWEEN(1,6)-RANDBETWEEN(1,6)+ VLOOKUP( $AS104, Tables!$A$184:$Q$193,  15 ) )</f>
        <v>-3</v>
      </c>
      <c r="DO104">
        <f ca="1" xml:space="preserve"> IF( $AV104=Tables!$C$189, 0, RANDBETWEEN(1,6)-RANDBETWEEN(1,6)+ VLOOKUP( $AS104, Tables!$A$184:$Q$193,  16 ) )</f>
        <v>1</v>
      </c>
      <c r="DP104">
        <f ca="1" xml:space="preserve"> IF( $AV104=Tables!$C$189, 0, RANDBETWEEN(1,6)-RANDBETWEEN(1,6)+ VLOOKUP( $AS104, Tables!$A$184:$Q$193,  17 ) )</f>
        <v>-1</v>
      </c>
      <c r="DQ104" s="44" t="str">
        <f ca="1" xml:space="preserve"> VLOOKUP( $DL104,Tables!$B$2:$C$36,2)</f>
        <v>7</v>
      </c>
      <c r="DR104" t="str">
        <f t="shared" ca="1" si="397"/>
        <v xml:space="preserve"> 3</v>
      </c>
      <c r="DS104" t="str">
        <f t="shared" ca="1" si="398"/>
        <v>-3</v>
      </c>
      <c r="DT104" t="str">
        <f t="shared" ca="1" si="399"/>
        <v xml:space="preserve"> 1</v>
      </c>
      <c r="DU104" t="str">
        <f t="shared" ca="1" si="400"/>
        <v>-1</v>
      </c>
      <c r="DW104" s="194">
        <f xml:space="preserve"> SUM( DX$4:DX104, -DX104 )</f>
        <v>0</v>
      </c>
      <c r="DX104" s="194">
        <v>0</v>
      </c>
      <c r="DY104" s="194">
        <f xml:space="preserve"> SUM( DZ$4:DZ104, -DZ104 )</f>
        <v>13</v>
      </c>
      <c r="DZ104" s="194">
        <v>0</v>
      </c>
      <c r="EA104" s="194">
        <f xml:space="preserve"> SUM( EB$4:EB104, -EB104 )</f>
        <v>12</v>
      </c>
      <c r="EB104" s="194">
        <v>0</v>
      </c>
      <c r="EC104" s="194">
        <f xml:space="preserve"> SUM( ED$4:ED104, -ED104 )</f>
        <v>0</v>
      </c>
      <c r="ED104" s="194">
        <v>0</v>
      </c>
      <c r="EE104" s="194">
        <f xml:space="preserve"> SUM( EF$4:EF104, -EF104 )</f>
        <v>2.6</v>
      </c>
      <c r="EF104" s="194">
        <v>0</v>
      </c>
      <c r="EG104" s="194">
        <f xml:space="preserve"> SUM( EH$4:EH104, -EH104 )</f>
        <v>0</v>
      </c>
      <c r="EH104" s="194">
        <v>0</v>
      </c>
      <c r="EI104" s="194">
        <f xml:space="preserve"> SUM( EJ$4:EJ104, -EJ104 )</f>
        <v>32.4</v>
      </c>
      <c r="EJ104" s="194">
        <v>0</v>
      </c>
      <c r="EK104" s="194">
        <f xml:space="preserve"> SUM( EL$4:EL104, -EL104 )</f>
        <v>0</v>
      </c>
      <c r="EL104" s="194">
        <v>0</v>
      </c>
      <c r="EM104" s="194">
        <f xml:space="preserve"> SUM( EN$4:EN104, -EN104 )</f>
        <v>0</v>
      </c>
      <c r="EN104" s="194">
        <v>0</v>
      </c>
      <c r="EO104" s="194">
        <f xml:space="preserve"> SUM( EP$4:EP104, -EP104 )</f>
        <v>0</v>
      </c>
      <c r="EP104" s="194">
        <v>0</v>
      </c>
      <c r="EQ104" s="194">
        <f xml:space="preserve"> SUM( ER$4:ER104, -ER104 )</f>
        <v>24</v>
      </c>
      <c r="ER104" s="194">
        <v>0</v>
      </c>
      <c r="ES104" s="194">
        <f xml:space="preserve"> SUM( ET$4:ET104, -ET104 )</f>
        <v>0</v>
      </c>
      <c r="ET104" s="194">
        <v>0</v>
      </c>
      <c r="EU104" s="194">
        <f xml:space="preserve"> SUM( EV$4:EV104, -EV104 )</f>
        <v>10</v>
      </c>
      <c r="EV104" s="194">
        <v>0</v>
      </c>
      <c r="EW104" s="194">
        <f xml:space="preserve"> SUM( EX$4:EX104, -EX104 )</f>
        <v>6</v>
      </c>
      <c r="EX104" s="194">
        <v>0</v>
      </c>
      <c r="EZ104" t="str">
        <f t="shared" si="312"/>
        <v>Sandcaster</v>
      </c>
      <c r="FB104" s="237">
        <f xml:space="preserve"> SUM( FC$4:FC104, -FC104 )</f>
        <v>4</v>
      </c>
      <c r="FC104" s="237">
        <v>0</v>
      </c>
      <c r="FD104" s="237">
        <f xml:space="preserve"> SUM( FE$4:FE104, -FE104 )</f>
        <v>1</v>
      </c>
      <c r="FE104" s="237">
        <f t="shared" si="427"/>
        <v>0</v>
      </c>
      <c r="FF104" t="str">
        <f t="shared" si="428"/>
        <v>Sandcaster T3</v>
      </c>
    </row>
    <row r="105" spans="1:162">
      <c r="A105" t="s">
        <v>174</v>
      </c>
      <c r="B105" s="149" t="str">
        <f t="shared" ref="B105" si="429">AV105</f>
        <v>Std</v>
      </c>
      <c r="C105" t="str">
        <f t="shared" ref="C105" si="430">CN105</f>
        <v>Triple</v>
      </c>
      <c r="D105" s="63" t="str">
        <f xml:space="preserve"> IF( $A105=Tables!$A$470, $DG105, $DB105 )</f>
        <v>Rng±0, TL±0</v>
      </c>
      <c r="E105" s="83">
        <v>0</v>
      </c>
      <c r="F105" s="84">
        <v>0</v>
      </c>
      <c r="G105" s="105">
        <f xml:space="preserve"> (N4) * (Military&gt;0) + 1 * (Military&gt;0) - 1 * (Military&gt;1)</f>
        <v>0</v>
      </c>
      <c r="H105" s="221">
        <f xml:space="preserve"> MIN( ($G105&gt;0) * ( 0.5*($CD105&gt;0) + 1.5*($CD105&gt;=2) + 4*(Military&gt;1) ), 9-7*($A105=Tables!$A$470) )</f>
        <v>0</v>
      </c>
      <c r="I105" s="72">
        <f t="shared" ref="I105" si="431">BF105 + BW105 + AW105</f>
        <v>10</v>
      </c>
      <c r="J105" s="86">
        <f xml:space="preserve"> IF( I105&gt;$S105, -1*(G105&gt;0),  G105  )</f>
        <v>0</v>
      </c>
      <c r="K105" s="194">
        <f t="shared" si="404"/>
        <v>0</v>
      </c>
      <c r="L105" s="194">
        <f t="shared" si="405"/>
        <v>0</v>
      </c>
      <c r="M105" s="48">
        <f t="shared" si="384"/>
        <v>0</v>
      </c>
      <c r="N105" s="48">
        <f t="shared" si="385"/>
        <v>0</v>
      </c>
      <c r="O105" s="204" t="str">
        <f t="shared" si="386"/>
        <v/>
      </c>
      <c r="P105" s="196" t="str">
        <f t="shared" si="387"/>
        <v/>
      </c>
      <c r="S105" s="223">
        <f t="shared" si="388"/>
        <v>12</v>
      </c>
      <c r="T105" t="str">
        <f t="shared" si="389"/>
        <v/>
      </c>
      <c r="Z105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5" s="160" t="str">
        <f t="shared" si="391"/>
        <v/>
      </c>
      <c r="AB105" s="161" t="str">
        <f t="shared" si="406"/>
        <v/>
      </c>
      <c r="AC105" s="160" t="str">
        <f t="shared" si="282"/>
        <v xml:space="preserve">                               </v>
      </c>
      <c r="AD105" s="160" t="str">
        <f t="shared" ref="AD105" si="432" xml:space="preserve"> CONCATENATE( REPT(" ",MAX(0,12-LEN(AE105))) )</f>
        <v xml:space="preserve">           </v>
      </c>
      <c r="AE105" s="162" t="str">
        <f t="shared" ref="AE105" si="433" xml:space="preserve"> CONCATENATE( J105 )</f>
        <v>0</v>
      </c>
      <c r="AF105" s="160" t="str">
        <f t="shared" ref="AF105" si="434" xml:space="preserve"> CONCATENATE( REPT(" ",MAX(0,12-LEN(AG105))) )</f>
        <v xml:space="preserve">           </v>
      </c>
      <c r="AG105" s="161" t="str">
        <f t="shared" ref="AG105" si="435" xml:space="preserve"> CONCATENATE( K105 )</f>
        <v>0</v>
      </c>
      <c r="AH105" s="160" t="str">
        <f t="shared" ref="AH105" si="436" xml:space="preserve"> CONCATENATE( REPT(" ",MAX(0,12-LEN(AI105))) )</f>
        <v xml:space="preserve">           </v>
      </c>
      <c r="AI105" s="163" t="str">
        <f t="shared" ref="AI105" si="437" xml:space="preserve"> CONCATENATE( L105 )</f>
        <v>0</v>
      </c>
      <c r="AJ105" s="160" t="str">
        <f t="shared" si="283"/>
        <v xml:space="preserve">      </v>
      </c>
      <c r="AK105" s="163" t="str">
        <f t="shared" si="287"/>
        <v/>
      </c>
      <c r="AL105" s="163"/>
      <c r="AM105" s="153">
        <f t="shared" si="407"/>
        <v>0</v>
      </c>
      <c r="AN105" s="153"/>
      <c r="AO105" s="153">
        <f xml:space="preserve"> J105 * MAX( 1, ROUNDUP(IFERROR(K105/J105,0)/35,0) ) * (L105&gt;0)</f>
        <v>0</v>
      </c>
      <c r="AP105" s="153"/>
      <c r="AQ105">
        <f t="shared" ref="AQ105" si="438">BH105+IF( BH105&gt;10, CA105, BY105 )</f>
        <v>7</v>
      </c>
      <c r="AR105" s="68">
        <f xml:space="preserve"> BB105 + BS105 + CG105 + CK105 + 2*($A105=Tables!$A$453)</f>
        <v>0</v>
      </c>
      <c r="AS105" s="69">
        <f t="shared" si="394"/>
        <v>0</v>
      </c>
      <c r="AT105" t="s">
        <v>378</v>
      </c>
      <c r="AU105" s="149" t="str">
        <f>VLOOKUP( $AS105, Tables!$A$184:$H$193,  2 )</f>
        <v>Standard</v>
      </c>
      <c r="AV105" s="149" t="str">
        <f>VLOOKUP( $AS105, Tables!$A$184:$H$193,  3 )</f>
        <v>Std</v>
      </c>
      <c r="AW105" s="90">
        <f>VLOOKUP( $AS105, Tables!$A$184:$H$193, 4 )</f>
        <v>0</v>
      </c>
      <c r="AX105" s="149">
        <f>VLOOKUP( $AS105, Tables!$A$184:$H$193,  5 )</f>
        <v>1</v>
      </c>
      <c r="AY105" s="149">
        <f>VLOOKUP( $AS105, Tables!$A$184:$H$193, 6 )</f>
        <v>1</v>
      </c>
      <c r="AZ105" s="149"/>
      <c r="BA105" s="149" t="str">
        <f xml:space="preserve"> VLOOKUP( $AQ105, Tables!$C$366:$H$384, IF($BH105&gt;10,3,6) )</f>
        <v>Vd</v>
      </c>
      <c r="BB105" s="60">
        <f>VLOOKUP( $AS105, Tables!$A$184:$Q$193, 9 )</f>
        <v>0</v>
      </c>
      <c r="BD105" t="s">
        <v>534</v>
      </c>
      <c r="BE105" t="str">
        <f xml:space="preserve"> VLOOKUP( $A105, Tables!$A$451:$F$474, 2, 0 )</f>
        <v>Y</v>
      </c>
      <c r="BF105">
        <f xml:space="preserve"> VLOOKUP( $A105, Tables!$A$451:$F$474, 3, 0 )</f>
        <v>10</v>
      </c>
      <c r="BG105">
        <f xml:space="preserve"> VLOOKUP( $A105, Tables!$A$451:$F$474, 4, 0 )</f>
        <v>6</v>
      </c>
      <c r="BH105">
        <f xml:space="preserve"> VLOOKUP( $A105, Tables!$A$451:$F$474, 5, 0 )</f>
        <v>7</v>
      </c>
      <c r="BI105">
        <f xml:space="preserve"> VLOOKUP( $A105, Tables!$A$451:$F$474, 6, 0 )</f>
        <v>1</v>
      </c>
      <c r="BJ105" s="1">
        <f xml:space="preserve"> IF(  IFERROR(FIND("issile",A105),0)&gt;0,  "M",  IF(  IFERROR(FIND("SLM",A105),0)&gt;0,  1,  BU105  + 1*($A105=Tables!$A$452)  )  )</f>
        <v>1</v>
      </c>
      <c r="BK105">
        <f t="shared" ref="BK105" si="439" xml:space="preserve"> BO105 - BG105</f>
        <v>0</v>
      </c>
      <c r="BL105" t="str">
        <f>VLOOKUP( $BG105, Tables!$A$435:$H$447, 2 )</f>
        <v>Triple</v>
      </c>
      <c r="BM105" t="s">
        <v>109</v>
      </c>
      <c r="BN105">
        <f xml:space="preserve"> IF(  IFERROR(FIND("SLM",A105),0)&gt;0,  1,  VLOOKUP( $C105, Tables!$B$435:$J$447, 9, 0 ) )</f>
        <v>1</v>
      </c>
      <c r="BO105">
        <f>VLOOKUP( $C105, Tables!$B$435:$H$447, 2, 0 )</f>
        <v>6</v>
      </c>
      <c r="BP105" t="str">
        <f>VLOOKUP( $C105, Tables!$B$435:$H$447, 3, 0 )</f>
        <v>T3</v>
      </c>
      <c r="BQ105">
        <f>VLOOKUP( $C105, Tables!$B$435:$H$447, 4, 0 )</f>
        <v>1</v>
      </c>
      <c r="BR105">
        <f>VLOOKUP( $C105, Tables!$B$435:$H$447, 5, 0 )</f>
        <v>1</v>
      </c>
      <c r="BS105">
        <f>VLOOKUP( $C105, Tables!$B$435:$H$447, 6, 0 )</f>
        <v>0</v>
      </c>
      <c r="BT105">
        <f>VLOOKUP( $C105, Tables!$B$435:$H$447, 7, 0 )</f>
        <v>1</v>
      </c>
      <c r="BU105">
        <f>VLOOKUP( $C105, Tables!$B$435:$I$447, 8, 0 )</f>
        <v>3</v>
      </c>
      <c r="BV105" t="s">
        <v>618</v>
      </c>
      <c r="BW105">
        <f>VLOOKUP( $D105, Tables!$B$388:$J$394, IF( $BH105&lt;10, 2,9), 0 )</f>
        <v>0</v>
      </c>
      <c r="BX105">
        <f>VLOOKUP( $D105, Tables!$B$388:$I$394, 3, 0 )</f>
        <v>7</v>
      </c>
      <c r="BY105">
        <f>VLOOKUP( $D105, Tables!$B$388:$I$394, 4, 0 )</f>
        <v>0</v>
      </c>
      <c r="BZ105">
        <f>VLOOKUP( $D105, Tables!$B$388:$I$394, 5, 0 )</f>
        <v>7</v>
      </c>
      <c r="CA105">
        <f>VLOOKUP( $D105, Tables!$B$388:$I$394, 6, 0 )</f>
        <v>0</v>
      </c>
      <c r="CB105" s="85">
        <f>VLOOKUP( $D105, Tables!$B$388:$L$394, IF( $BH105&lt;10, 7, 10 ), 0 )</f>
        <v>1</v>
      </c>
      <c r="CC105" s="85">
        <f>VLOOKUP( $D105, Tables!$B$388:$L$394, IF( $BH105&lt;10, 8, 11 ), 0 )</f>
        <v>1</v>
      </c>
      <c r="CD105">
        <f t="shared" si="408"/>
        <v>2</v>
      </c>
      <c r="CE105">
        <f t="shared" ref="CE105" si="440">($E105&gt;0)*2 * (BO105&gt;3) * (BO105&lt;10)</f>
        <v>0</v>
      </c>
      <c r="CF105">
        <f t="shared" ref="CF105" si="441">($E105&gt;0)*1 * (BO105&gt;3) * (BO105&lt;10)</f>
        <v>0</v>
      </c>
      <c r="CG105">
        <f t="shared" ref="CG105" si="442">($E105&gt;0)*3 * (BO105&gt;3) * (BO105&lt;10)</f>
        <v>0</v>
      </c>
      <c r="CI105">
        <f t="shared" ref="CI105" si="443">($F105&gt;0)*2 * (BO105&gt;3) * (BO105&lt;10)</f>
        <v>0</v>
      </c>
      <c r="CJ105">
        <f t="shared" ref="CJ105" si="444">($F105&gt;0)*3 * (BO105&gt;3) * (BO105&lt;10)</f>
        <v>0</v>
      </c>
      <c r="CK105">
        <f t="shared" ref="CK105" si="445">($F105&gt;0)*0 * (BO105&gt;3) * (BO105&lt;10)</f>
        <v>0</v>
      </c>
      <c r="CM105">
        <f t="shared" ref="CM105" si="446">BG105</f>
        <v>6</v>
      </c>
      <c r="CN105" t="str">
        <f xml:space="preserve"> VLOOKUP( VLOOKUP( $A105, Tables!$A$451:$G$474, 7, 0 ), Tables!$A$435:$I$447, 2 )</f>
        <v>Triple</v>
      </c>
      <c r="CO105" t="str">
        <f xml:space="preserve"> VLOOKUP( MIN( $CM105+CO$98-$CO$98, $CW$98 ), Tables!$A$435:$I$447, 2 )</f>
        <v>Triple</v>
      </c>
      <c r="CP105" t="str">
        <f xml:space="preserve"> VLOOKUP( MIN( $CM105+CP$98-$CO$98, $CW$98 ), Tables!$A$435:$I$447, 2 )</f>
        <v>Quad</v>
      </c>
      <c r="CQ105" t="str">
        <f xml:space="preserve"> VLOOKUP( MIN( $CM105+CQ$98-$CO$98, $CW$98 ), Tables!$A$435:$I$447, 2 )</f>
        <v>Barbette</v>
      </c>
      <c r="CR105" t="str">
        <f xml:space="preserve"> VLOOKUP( MIN( $CM105+CR$98-$CO$98, $CW$98 ), Tables!$A$435:$I$447, 2 )</f>
        <v>Barbette, Double</v>
      </c>
      <c r="CS105" t="str">
        <f xml:space="preserve"> VLOOKUP( MIN( $CM105+CS$98-$CO$98, $CW$98 ), Tables!$A$435:$I$447, 2 )</f>
        <v>Bay</v>
      </c>
      <c r="CT105" t="str">
        <f xml:space="preserve"> VLOOKUP( MIN( $CM105+CT$98-$CO$98, $CW$98 ), Tables!$A$435:$I$447, 2 )</f>
        <v>Bay, Large</v>
      </c>
      <c r="CU105" t="str">
        <f xml:space="preserve"> VLOOKUP( MIN( $CM105+CU$98-$CO$98, $CW$98 ), Tables!$A$435:$I$447, 2 )</f>
        <v>Main</v>
      </c>
      <c r="CV105" t="str">
        <f xml:space="preserve"> VLOOKUP( MIN( $CM105+CV$98-$CO$98, $CW$98 ), Tables!$A$435:$I$447, 2 )</f>
        <v>Main</v>
      </c>
      <c r="CW105" t="str">
        <f xml:space="preserve"> VLOOKUP( MIN( $CM105+CW$98-$CO$98, $CW$98 ), Tables!$A$435:$I$447, 2 )</f>
        <v>Main</v>
      </c>
      <c r="CX105">
        <f t="shared" si="416"/>
        <v>0</v>
      </c>
      <c r="CY105">
        <f t="shared" si="396"/>
        <v>1</v>
      </c>
      <c r="CZ105">
        <f t="shared" ref="CZ105" si="447" xml:space="preserve"> DE$98 - 1*($DD105&gt;10)</f>
        <v>-2</v>
      </c>
      <c r="DA105">
        <f t="shared" si="418"/>
        <v>3</v>
      </c>
      <c r="DB105" t="str">
        <f t="shared" si="419"/>
        <v>Rng±0, TL±0</v>
      </c>
      <c r="DD105">
        <f t="shared" ref="DD105" si="448" xml:space="preserve"> BH105</f>
        <v>7</v>
      </c>
      <c r="DE105" t="str">
        <f t="shared" si="421"/>
        <v>Rng-2, TL-2</v>
      </c>
      <c r="DF105" t="str">
        <f t="shared" si="422"/>
        <v>Rng-1, TL-1</v>
      </c>
      <c r="DG105" t="str">
        <f t="shared" si="423"/>
        <v>Rng±0, TL±0</v>
      </c>
      <c r="DH105" t="str">
        <f t="shared" si="424"/>
        <v>Rng+1, TL+1</v>
      </c>
      <c r="DI105" t="str">
        <f t="shared" si="425"/>
        <v>Rng+2, TL+2</v>
      </c>
      <c r="DJ105" t="str">
        <f t="shared" si="426"/>
        <v>Rng+3, TL+3</v>
      </c>
      <c r="DL105">
        <f ca="1" xml:space="preserve"> IF( $AV105=Tables!$C$189, 5, RANDBETWEEN(1,6)+RANDBETWEEN(1,6)-2 )</f>
        <v>2</v>
      </c>
      <c r="DM105">
        <f ca="1" xml:space="preserve"> IF( $AV105=Tables!$C$189, 0, RANDBETWEEN(1,6)-RANDBETWEEN(1,6)+ VLOOKUP( $AS105, Tables!$A$184:$Q$193,  14 ) )</f>
        <v>0</v>
      </c>
      <c r="DN105">
        <f ca="1" xml:space="preserve"> IF( $AV105=Tables!$C$189, 0, RANDBETWEEN(1,6)-RANDBETWEEN(1,6)+ VLOOKUP( $AS105, Tables!$A$184:$Q$193,  15 ) )</f>
        <v>-3</v>
      </c>
      <c r="DO105">
        <f ca="1" xml:space="preserve"> IF( $AV105=Tables!$C$189, 0, RANDBETWEEN(1,6)-RANDBETWEEN(1,6)+ VLOOKUP( $AS105, Tables!$A$184:$Q$193,  16 ) )</f>
        <v>-2</v>
      </c>
      <c r="DP105">
        <f ca="1" xml:space="preserve"> IF( $AV105=Tables!$C$189, 0, RANDBETWEEN(1,6)-RANDBETWEEN(1,6)+ VLOOKUP( $AS105, Tables!$A$184:$Q$193,  17 ) )</f>
        <v>-1</v>
      </c>
      <c r="DQ105" s="44" t="str">
        <f ca="1" xml:space="preserve"> VLOOKUP( $DL105,Tables!$B$2:$C$36,2)</f>
        <v>2</v>
      </c>
      <c r="DR105" t="str">
        <f t="shared" ref="DR105" ca="1" si="449" xml:space="preserve"> IF( DM105&lt;0, CONCATENATE( DM105 ), CONCATENATE( " ", DM105 ) )</f>
        <v xml:space="preserve"> 0</v>
      </c>
      <c r="DS105" t="str">
        <f t="shared" ref="DS105" ca="1" si="450" xml:space="preserve"> IF( DN105&lt;0, CONCATENATE( DN105 ), CONCATENATE( " ", DN105 ) )</f>
        <v>-3</v>
      </c>
      <c r="DT105" t="str">
        <f t="shared" ref="DT105" ca="1" si="451" xml:space="preserve"> IF( DO105&lt;0, CONCATENATE( DO105 ), CONCATENATE( " ", DO105 ) )</f>
        <v>-2</v>
      </c>
      <c r="DU105" t="str">
        <f t="shared" ref="DU105" ca="1" si="452" xml:space="preserve"> IF( DP105&lt;0, CONCATENATE( DP105 ), CONCATENATE( " ", DP105 ) )</f>
        <v>-1</v>
      </c>
      <c r="DW105" s="194">
        <f xml:space="preserve"> SUM( DX$4:DX105, -DX105 )</f>
        <v>0</v>
      </c>
      <c r="DX105" s="194">
        <v>0</v>
      </c>
      <c r="DY105" s="194">
        <f xml:space="preserve"> SUM( DZ$4:DZ105, -DZ105 )</f>
        <v>13</v>
      </c>
      <c r="DZ105" s="194">
        <v>0</v>
      </c>
      <c r="EA105" s="194">
        <f xml:space="preserve"> SUM( EB$4:EB105, -EB105 )</f>
        <v>12</v>
      </c>
      <c r="EB105" s="194">
        <v>0</v>
      </c>
      <c r="EC105" s="194">
        <f xml:space="preserve"> SUM( ED$4:ED105, -ED105 )</f>
        <v>0</v>
      </c>
      <c r="ED105" s="194">
        <v>0</v>
      </c>
      <c r="EE105" s="194">
        <f xml:space="preserve"> SUM( EF$4:EF105, -EF105 )</f>
        <v>2.6</v>
      </c>
      <c r="EF105" s="194">
        <v>0</v>
      </c>
      <c r="EG105" s="194">
        <f xml:space="preserve"> SUM( EH$4:EH105, -EH105 )</f>
        <v>0</v>
      </c>
      <c r="EH105" s="194">
        <v>0</v>
      </c>
      <c r="EI105" s="194">
        <f xml:space="preserve"> SUM( EJ$4:EJ105, -EJ105 )</f>
        <v>32.4</v>
      </c>
      <c r="EJ105" s="194">
        <v>0</v>
      </c>
      <c r="EK105" s="194">
        <f xml:space="preserve"> SUM( EL$4:EL105, -EL105 )</f>
        <v>0</v>
      </c>
      <c r="EL105" s="194">
        <v>0</v>
      </c>
      <c r="EM105" s="194">
        <f xml:space="preserve"> SUM( EN$4:EN105, -EN105 )</f>
        <v>0</v>
      </c>
      <c r="EN105" s="194">
        <v>0</v>
      </c>
      <c r="EO105" s="194">
        <f xml:space="preserve"> SUM( EP$4:EP105, -EP105 )</f>
        <v>0</v>
      </c>
      <c r="EP105" s="194">
        <v>0</v>
      </c>
      <c r="EQ105" s="194">
        <f xml:space="preserve"> SUM( ER$4:ER105, -ER105 )</f>
        <v>24</v>
      </c>
      <c r="ER105" s="194">
        <v>0</v>
      </c>
      <c r="ES105" s="194">
        <f xml:space="preserve"> SUM( ET$4:ET105, -ET105 )</f>
        <v>0</v>
      </c>
      <c r="ET105" s="194">
        <v>0</v>
      </c>
      <c r="EU105" s="194">
        <f xml:space="preserve"> SUM( EV$4:EV105, -EV105 )</f>
        <v>10</v>
      </c>
      <c r="EV105" s="194">
        <v>0</v>
      </c>
      <c r="EW105" s="194">
        <f xml:space="preserve"> SUM( EX$4:EX105, -EX105 )</f>
        <v>6</v>
      </c>
      <c r="EX105" s="194">
        <v>0</v>
      </c>
      <c r="EZ105" t="str">
        <f t="shared" ref="EZ105" si="453">A105</f>
        <v>SLM Hybrid</v>
      </c>
      <c r="FB105" s="237">
        <f xml:space="preserve"> SUM( FC$4:FC105, -FC105 )</f>
        <v>4</v>
      </c>
      <c r="FC105" s="237">
        <v>0</v>
      </c>
      <c r="FD105" s="237">
        <f xml:space="preserve"> SUM( FE$4:FE105, -FE105 )</f>
        <v>1</v>
      </c>
      <c r="FE105" s="237">
        <f t="shared" si="427"/>
        <v>0</v>
      </c>
      <c r="FF105" t="str">
        <f t="shared" si="428"/>
        <v>SLM Hybrid T3</v>
      </c>
    </row>
    <row r="106" spans="1:162">
      <c r="A106" s="188" t="s">
        <v>319</v>
      </c>
      <c r="B106" s="149" t="str">
        <f t="shared" ref="B106" si="454">AV106</f>
        <v>Std</v>
      </c>
      <c r="C106" t="s">
        <v>999</v>
      </c>
      <c r="D106" t="str">
        <f>D105</f>
        <v>Rng±0, TL±0</v>
      </c>
      <c r="E106" s="189">
        <v>0</v>
      </c>
      <c r="F106" s="190">
        <v>0</v>
      </c>
      <c r="G106" s="191">
        <f>G105</f>
        <v>0</v>
      </c>
      <c r="H106" s="192"/>
      <c r="I106" s="72">
        <f t="shared" ref="I106" si="455">BF106 + BW106 + AW106</f>
        <v>9</v>
      </c>
      <c r="J106" s="86">
        <f xml:space="preserve"> IF( I106&gt;$S105, -1*(G106&gt;0),  G106  )</f>
        <v>0</v>
      </c>
      <c r="K106" s="123">
        <f>J106 * ( (BQ106+CE106+CI106) * CB106 ) * 0</f>
        <v>0</v>
      </c>
      <c r="L106" s="123">
        <f>J106 * ( BI106 * AY106 + (BR106+CF106+CJ106) * CC106 ) * 0</f>
        <v>0</v>
      </c>
      <c r="M106" s="48"/>
      <c r="N106" s="48"/>
      <c r="O106" s="204" t="str">
        <f t="shared" si="386"/>
        <v/>
      </c>
      <c r="P106" s="196" t="str">
        <f>IF(  J106&gt;0,  CONCATENATE( IF(AS106&lt;&gt;0,CONCATENATE(AV106," "),""), BA106, " ", BP106, " ", IF(CE106&gt;0,"Ext ",""), IF(CI106&gt;0,"De ",""), LEFT(A106,4), "-", MAX($S105,I106), " ", IF(AR106&gt;0,"+",IF(AR106=0,"±","")), AR106, " H:", BJ106, " Def", IF(BN106&gt;0,"+",IF(BN106=0,"±","")), BN106), ""  )</f>
        <v/>
      </c>
      <c r="S106" s="223"/>
      <c r="T106" t="str">
        <f xml:space="preserve"> IF( J106&gt;0, CONCATENATE( DQ106, DR106, DS106, DT106, DU106 ), "" )</f>
        <v/>
      </c>
      <c r="Z106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6" s="160" t="str">
        <f t="shared" si="391"/>
        <v/>
      </c>
      <c r="AB106" s="161" t="str">
        <f xml:space="preserve"> CONCATENATE( " " &amp; LEFT(P106,30) )</f>
        <v xml:space="preserve"> </v>
      </c>
      <c r="AC106" s="160" t="str">
        <f t="shared" si="282"/>
        <v xml:space="preserve">                              </v>
      </c>
      <c r="AD106" s="160" t="str">
        <f t="shared" ref="AD106" si="456" xml:space="preserve"> CONCATENATE( REPT(" ",MAX(0,12-LEN(AE106))) )</f>
        <v xml:space="preserve">           </v>
      </c>
      <c r="AE106" s="162" t="str">
        <f t="shared" ref="AE106" si="457" xml:space="preserve"> CONCATENATE( J106 )</f>
        <v>0</v>
      </c>
      <c r="AF106" s="160" t="str">
        <f t="shared" ref="AF106" si="458" xml:space="preserve"> CONCATENATE( REPT(" ",MAX(0,12-LEN(AG106))) )</f>
        <v xml:space="preserve">           </v>
      </c>
      <c r="AG106" s="161" t="str">
        <f t="shared" ref="AG106" si="459" xml:space="preserve"> CONCATENATE( K106 )</f>
        <v>0</v>
      </c>
      <c r="AH106" s="160" t="str">
        <f t="shared" ref="AH106" si="460" xml:space="preserve"> CONCATENATE( REPT(" ",MAX(0,12-LEN(AI106))) )</f>
        <v xml:space="preserve">           </v>
      </c>
      <c r="AI106" s="163" t="str">
        <f t="shared" ref="AI106" si="461" xml:space="preserve"> CONCATENATE( L106 )</f>
        <v>0</v>
      </c>
      <c r="AJ106" s="160" t="str">
        <f t="shared" si="283"/>
        <v xml:space="preserve">      </v>
      </c>
      <c r="AK106" s="163" t="str">
        <f t="shared" si="287"/>
        <v/>
      </c>
      <c r="AL106" s="163"/>
      <c r="AM106" s="153">
        <f t="shared" si="407"/>
        <v>0</v>
      </c>
      <c r="AN106" s="153"/>
      <c r="AO106" s="153"/>
      <c r="AP106" s="153"/>
      <c r="AQ106">
        <f t="shared" ref="AQ106" si="462">BH106+IF( BH106&gt;10, CA106, BY106 )</f>
        <v>7</v>
      </c>
      <c r="AR106" s="68">
        <f xml:space="preserve"> BB106 + BS106 + CG106 + CK106 + 2*($A106=Tables!$A$453)</f>
        <v>-2</v>
      </c>
      <c r="AS106" s="230">
        <f>MIN( H105, $S105 - BF106 - BW106, AS105  )</f>
        <v>0</v>
      </c>
      <c r="AT106" t="s">
        <v>378</v>
      </c>
      <c r="AU106" s="149" t="str">
        <f>VLOOKUP( $AS106, Tables!$A$184:$H$193,  2 )</f>
        <v>Standard</v>
      </c>
      <c r="AV106" s="149" t="str">
        <f>VLOOKUP( $AS106, Tables!$A$184:$H$193,  3 )</f>
        <v>Std</v>
      </c>
      <c r="AW106" s="90">
        <f>VLOOKUP( $AS106, Tables!$A$184:$H$193, 4 )</f>
        <v>0</v>
      </c>
      <c r="AX106" s="149">
        <f>VLOOKUP( $AS106, Tables!$A$184:$H$193,  5 )</f>
        <v>1</v>
      </c>
      <c r="AY106" s="149">
        <f>VLOOKUP( $AS106, Tables!$A$184:$H$193, 6 )</f>
        <v>1</v>
      </c>
      <c r="AZ106" s="149"/>
      <c r="BA106" s="149" t="str">
        <f xml:space="preserve"> VLOOKUP( $AQ106, Tables!$C$366:$H$384, IF($BH106&gt;10,3,6) )</f>
        <v>Vd</v>
      </c>
      <c r="BB106" s="60">
        <f>VLOOKUP( $AS106, Tables!$A$184:$Q$193, 9 )</f>
        <v>0</v>
      </c>
      <c r="BD106" t="s">
        <v>534</v>
      </c>
      <c r="BE106" t="str">
        <f xml:space="preserve"> VLOOKUP( $A106, Tables!$A$451:$F$474, 2, 0 )</f>
        <v>S</v>
      </c>
      <c r="BF106">
        <f xml:space="preserve"> VLOOKUP( $A106, Tables!$A$451:$F$474, 3, 0 )</f>
        <v>9</v>
      </c>
      <c r="BG106">
        <f xml:space="preserve"> VLOOKUP( $A106, Tables!$A$451:$F$474, 4, 0 )</f>
        <v>4</v>
      </c>
      <c r="BH106">
        <f xml:space="preserve"> VLOOKUP( $A106, Tables!$A$451:$F$474, 5, 0 )</f>
        <v>7</v>
      </c>
      <c r="BI106">
        <f xml:space="preserve"> VLOOKUP( $A106, Tables!$A$451:$F$474, 6, 0 )</f>
        <v>0.1</v>
      </c>
      <c r="BJ106" s="1">
        <f xml:space="preserve"> IF(  IFERROR(FIND("issile",A106),0)&gt;0,  "M",  IF(  IFERROR(FIND("SLM",A106),0)&gt;0,  1,  BU106  + 1*($A106=Tables!$A$452)  )  )</f>
        <v>1</v>
      </c>
      <c r="BK106">
        <f t="shared" ref="BK106" si="463" xml:space="preserve"> BO106 - BG106</f>
        <v>0</v>
      </c>
      <c r="BL106" t="str">
        <f>VLOOKUP( $BG106, Tables!$A$435:$H$447, 2 )</f>
        <v>Single</v>
      </c>
      <c r="BM106" t="s">
        <v>109</v>
      </c>
      <c r="BN106">
        <f xml:space="preserve"> IF(  IFERROR(FIND("SLM",A106),0)&gt;0,  1,  VLOOKUP( $C106, Tables!$B$435:$J$447, 9, 0 ) )</f>
        <v>1</v>
      </c>
      <c r="BO106">
        <f>VLOOKUP( $C106, Tables!$B$435:$H$447, 2, 0 )</f>
        <v>4</v>
      </c>
      <c r="BP106" t="str">
        <f>VLOOKUP( $C106, Tables!$B$435:$H$447, 3, 0 )</f>
        <v>T1</v>
      </c>
      <c r="BQ106">
        <f>VLOOKUP( $C106, Tables!$B$435:$H$447, 4, 0 )</f>
        <v>1</v>
      </c>
      <c r="BR106">
        <f>VLOOKUP( $C106, Tables!$B$435:$H$447, 5, 0 )</f>
        <v>0.2</v>
      </c>
      <c r="BS106">
        <f>VLOOKUP( $C106, Tables!$B$435:$H$447, 6, 0 )</f>
        <v>-2</v>
      </c>
      <c r="BT106">
        <f>VLOOKUP( $C106, Tables!$B$435:$H$447, 7, 0 )</f>
        <v>1</v>
      </c>
      <c r="BU106">
        <f>VLOOKUP( $C106, Tables!$B$435:$I$447, 8, 0 )</f>
        <v>1</v>
      </c>
      <c r="BV106" t="s">
        <v>618</v>
      </c>
      <c r="BW106">
        <f>VLOOKUP( $D106, Tables!$B$388:$J$394, IF( $BH106&lt;10, 2,9), 0 )</f>
        <v>0</v>
      </c>
      <c r="BX106">
        <f>VLOOKUP( $D106, Tables!$B$388:$I$394, 3, 0 )</f>
        <v>7</v>
      </c>
      <c r="BY106">
        <f>VLOOKUP( $D106, Tables!$B$388:$I$394, 4, 0 )</f>
        <v>0</v>
      </c>
      <c r="BZ106">
        <f>VLOOKUP( $D106, Tables!$B$388:$I$394, 5, 0 )</f>
        <v>7</v>
      </c>
      <c r="CA106">
        <f>VLOOKUP( $D106, Tables!$B$388:$I$394, 6, 0 )</f>
        <v>0</v>
      </c>
      <c r="CB106" s="85">
        <f>VLOOKUP( $D106, Tables!$B$388:$L$394, IF( $BH106&lt;10, 7, 10 ), 0 )</f>
        <v>1</v>
      </c>
      <c r="CC106" s="85">
        <f>VLOOKUP( $D106, Tables!$B$388:$L$394, IF( $BH106&lt;10, 8, 11 ), 0 )</f>
        <v>1</v>
      </c>
      <c r="CD106" s="94">
        <f xml:space="preserve"> $S105 - BF106 - BW106</f>
        <v>3</v>
      </c>
      <c r="CE106">
        <f t="shared" ref="CE106" si="464">($E106&gt;0)*2 * (BO106&gt;3) * (BO106&lt;10)</f>
        <v>0</v>
      </c>
      <c r="CF106">
        <f t="shared" ref="CF106" si="465">($E106&gt;0)*1 * (BO106&gt;3) * (BO106&lt;10)</f>
        <v>0</v>
      </c>
      <c r="CG106">
        <f t="shared" ref="CG106" si="466">($E106&gt;0)*3 * (BO106&gt;3) * (BO106&lt;10)</f>
        <v>0</v>
      </c>
      <c r="CI106">
        <f t="shared" ref="CI106" si="467">($F106&gt;0)*2 * (BO106&gt;3) * (BO106&lt;10)</f>
        <v>0</v>
      </c>
      <c r="CJ106">
        <f t="shared" ref="CJ106" si="468">($F106&gt;0)*3 * (BO106&gt;3) * (BO106&lt;10)</f>
        <v>0</v>
      </c>
      <c r="CK106">
        <f t="shared" ref="CK106" si="469">($F106&gt;0)*0 * (BO106&gt;3) * (BO106&lt;10)</f>
        <v>0</v>
      </c>
      <c r="CM106">
        <f t="shared" ref="CM106" si="470">BG106</f>
        <v>4</v>
      </c>
      <c r="CN106" t="str">
        <f xml:space="preserve"> VLOOKUP( VLOOKUP( $A106, Tables!$A$451:$G$474, 7, 0 ), Tables!$A$435:$I$447, 2 )</f>
        <v>Triple</v>
      </c>
      <c r="CO106" t="str">
        <f xml:space="preserve"> VLOOKUP( MIN( $CM106+CO$98-$CO$98, $CW$98 ), Tables!$A$435:$I$447, 2 )</f>
        <v>Single</v>
      </c>
      <c r="CP106" t="str">
        <f xml:space="preserve"> VLOOKUP( MIN( $CM106+CP$98-$CO$98, $CW$98 ), Tables!$A$435:$I$447, 2 )</f>
        <v>Double</v>
      </c>
      <c r="CQ106" t="str">
        <f xml:space="preserve"> VLOOKUP( MIN( $CM106+CQ$98-$CO$98, $CW$98 ), Tables!$A$435:$I$447, 2 )</f>
        <v>Triple</v>
      </c>
      <c r="CR106" t="str">
        <f xml:space="preserve"> VLOOKUP( MIN( $CM106+CR$98-$CO$98, $CW$98 ), Tables!$A$435:$I$447, 2 )</f>
        <v>Quad</v>
      </c>
      <c r="CS106" t="str">
        <f xml:space="preserve"> VLOOKUP( MIN( $CM106+CS$98-$CO$98, $CW$98 ), Tables!$A$435:$I$447, 2 )</f>
        <v>Barbette</v>
      </c>
      <c r="CT106" t="str">
        <f xml:space="preserve"> VLOOKUP( MIN( $CM106+CT$98-$CO$98, $CW$98 ), Tables!$A$435:$I$447, 2 )</f>
        <v>Barbette, Double</v>
      </c>
      <c r="CU106" t="str">
        <f xml:space="preserve"> VLOOKUP( MIN( $CM106+CU$98-$CO$98, $CW$98 ), Tables!$A$435:$I$447, 2 )</f>
        <v>Bay</v>
      </c>
      <c r="CV106" t="str">
        <f xml:space="preserve"> VLOOKUP( MIN( $CM106+CV$98-$CO$98, $CW$98 ), Tables!$A$435:$I$447, 2 )</f>
        <v>Bay, Large</v>
      </c>
      <c r="CW106" t="str">
        <f xml:space="preserve"> VLOOKUP( MIN( $CM106+CW$98-$CO$98, $CW$98 ), Tables!$A$435:$I$447, 2 )</f>
        <v>Main</v>
      </c>
      <c r="CY106" s="94">
        <f xml:space="preserve"> $S105-$BF106+IF(Military&gt;0,1,-1)</f>
        <v>2</v>
      </c>
      <c r="CZ106">
        <f t="shared" ref="CZ106" si="471" xml:space="preserve"> DE$98 - 1*($DD106&gt;10)</f>
        <v>-2</v>
      </c>
      <c r="DA106">
        <f t="shared" si="418"/>
        <v>3</v>
      </c>
      <c r="DB106" t="str">
        <f t="shared" si="419"/>
        <v>Rng±0, TL±0</v>
      </c>
      <c r="DD106">
        <f t="shared" ref="DD106" si="472" xml:space="preserve"> BH106</f>
        <v>7</v>
      </c>
      <c r="DE106" t="str">
        <f t="shared" si="421"/>
        <v>Rng-2, TL-2</v>
      </c>
      <c r="DF106" t="str">
        <f t="shared" si="422"/>
        <v>Rng-1, TL-1</v>
      </c>
      <c r="DG106" t="str">
        <f t="shared" si="423"/>
        <v>Rng±0, TL±0</v>
      </c>
      <c r="DH106" t="str">
        <f t="shared" si="424"/>
        <v>Rng+1, TL+1</v>
      </c>
      <c r="DI106" t="str">
        <f t="shared" si="425"/>
        <v>Rng+2, TL+2</v>
      </c>
      <c r="DJ106" t="str">
        <f t="shared" si="426"/>
        <v>Rng+3, TL+3</v>
      </c>
      <c r="DL106">
        <f ca="1" xml:space="preserve"> IF( $AV106=Tables!$C$189, 5, RANDBETWEEN(1,6)+RANDBETWEEN(1,6)-2 )</f>
        <v>4</v>
      </c>
      <c r="DM106">
        <f ca="1" xml:space="preserve"> IF( $AV106=Tables!$C$189, 0, RANDBETWEEN(1,6)-RANDBETWEEN(1,6)+ VLOOKUP( $AS106, Tables!$A$184:$Q$193,  14 ) )</f>
        <v>1</v>
      </c>
      <c r="DN106">
        <f ca="1" xml:space="preserve"> IF( $AV106=Tables!$C$189, 0, RANDBETWEEN(1,6)-RANDBETWEEN(1,6)+ VLOOKUP( $AS106, Tables!$A$184:$Q$193,  15 ) )</f>
        <v>-1</v>
      </c>
      <c r="DO106">
        <f ca="1" xml:space="preserve"> IF( $AV106=Tables!$C$189, 0, RANDBETWEEN(1,6)-RANDBETWEEN(1,6)+ VLOOKUP( $AS106, Tables!$A$184:$Q$193,  16 ) )</f>
        <v>4</v>
      </c>
      <c r="DP106">
        <f ca="1" xml:space="preserve"> IF( $AV106=Tables!$C$189, 0, RANDBETWEEN(1,6)-RANDBETWEEN(1,6)+ VLOOKUP( $AS106, Tables!$A$184:$Q$193,  17 ) )</f>
        <v>0</v>
      </c>
      <c r="DQ106" s="44" t="str">
        <f ca="1" xml:space="preserve"> VLOOKUP( $DL106,Tables!$B$2:$C$36,2)</f>
        <v>4</v>
      </c>
      <c r="DR106" t="str">
        <f t="shared" ref="DR106" ca="1" si="473" xml:space="preserve"> IF( DM106&lt;0, CONCATENATE( DM106 ), CONCATENATE( " ", DM106 ) )</f>
        <v xml:space="preserve"> 1</v>
      </c>
      <c r="DS106" t="str">
        <f t="shared" ref="DS106" ca="1" si="474" xml:space="preserve"> IF( DN106&lt;0, CONCATENATE( DN106 ), CONCATENATE( " ", DN106 ) )</f>
        <v>-1</v>
      </c>
      <c r="DT106" t="str">
        <f t="shared" ref="DT106" ca="1" si="475" xml:space="preserve"> IF( DO106&lt;0, CONCATENATE( DO106 ), CONCATENATE( " ", DO106 ) )</f>
        <v xml:space="preserve"> 4</v>
      </c>
      <c r="DU106" t="str">
        <f t="shared" ref="DU106" ca="1" si="476" xml:space="preserve"> IF( DP106&lt;0, CONCATENATE( DP106 ), CONCATENATE( " ", DP106 ) )</f>
        <v xml:space="preserve"> 0</v>
      </c>
      <c r="DW106" s="194">
        <f xml:space="preserve"> SUM( DX$4:DX106, -DX106 )</f>
        <v>0</v>
      </c>
      <c r="DX106" s="194">
        <v>0</v>
      </c>
      <c r="DY106" s="194">
        <f xml:space="preserve"> SUM( DZ$4:DZ106, -DZ106 )</f>
        <v>13</v>
      </c>
      <c r="DZ106" s="194">
        <v>0</v>
      </c>
      <c r="EA106" s="194">
        <f xml:space="preserve"> SUM( EB$4:EB106, -EB106 )</f>
        <v>12</v>
      </c>
      <c r="EB106" s="194">
        <v>0</v>
      </c>
      <c r="EC106" s="194">
        <f xml:space="preserve"> SUM( ED$4:ED106, -ED106 )</f>
        <v>0</v>
      </c>
      <c r="ED106" s="194">
        <v>0</v>
      </c>
      <c r="EE106" s="194">
        <f xml:space="preserve"> SUM( EF$4:EF106, -EF106 )</f>
        <v>2.6</v>
      </c>
      <c r="EF106" s="194">
        <v>0</v>
      </c>
      <c r="EG106" s="194">
        <f xml:space="preserve"> SUM( EH$4:EH106, -EH106 )</f>
        <v>0</v>
      </c>
      <c r="EH106" s="194">
        <v>0</v>
      </c>
      <c r="EI106" s="194">
        <f xml:space="preserve"> SUM( EJ$4:EJ106, -EJ106 )</f>
        <v>32.4</v>
      </c>
      <c r="EJ106" s="194">
        <v>0</v>
      </c>
      <c r="EK106" s="194">
        <f xml:space="preserve"> SUM( EL$4:EL106, -EL106 )</f>
        <v>0</v>
      </c>
      <c r="EL106" s="194">
        <v>0</v>
      </c>
      <c r="EM106" s="194">
        <f xml:space="preserve"> SUM( EN$4:EN106, -EN106 )</f>
        <v>0</v>
      </c>
      <c r="EN106" s="194">
        <v>0</v>
      </c>
      <c r="EO106" s="194">
        <f xml:space="preserve"> SUM( EP$4:EP106, -EP106 )</f>
        <v>0</v>
      </c>
      <c r="EP106" s="194">
        <v>0</v>
      </c>
      <c r="EQ106" s="194">
        <f xml:space="preserve"> SUM( ER$4:ER106, -ER106 )</f>
        <v>24</v>
      </c>
      <c r="ER106" s="194">
        <v>0</v>
      </c>
      <c r="ES106" s="194">
        <f xml:space="preserve"> SUM( ET$4:ET106, -ET106 )</f>
        <v>0</v>
      </c>
      <c r="ET106" s="194">
        <v>0</v>
      </c>
      <c r="EU106" s="194">
        <f xml:space="preserve"> SUM( EV$4:EV106, -EV106 )</f>
        <v>10</v>
      </c>
      <c r="EV106" s="194">
        <v>0</v>
      </c>
      <c r="EW106" s="194">
        <f xml:space="preserve"> SUM( EX$4:EX106, -EX106 )</f>
        <v>6</v>
      </c>
      <c r="EX106" s="194">
        <v>0</v>
      </c>
      <c r="EZ106" t="str">
        <f t="shared" ref="EZ106" si="477">A106</f>
        <v>Sandcaster</v>
      </c>
      <c r="FB106" s="237">
        <f xml:space="preserve"> SUM( FC$4:FC106, -FC106 )</f>
        <v>4</v>
      </c>
      <c r="FC106" s="237">
        <v>0</v>
      </c>
      <c r="FD106" s="237">
        <f xml:space="preserve"> SUM( FE$4:FE106, -FE106 )</f>
        <v>1</v>
      </c>
      <c r="FE106" s="237">
        <v>0</v>
      </c>
      <c r="FF106" t="str">
        <f t="shared" si="428"/>
        <v>Sandcaster T1</v>
      </c>
    </row>
    <row r="107" spans="1:162">
      <c r="A107" s="188" t="s">
        <v>1021</v>
      </c>
      <c r="B107" s="149" t="str">
        <f t="shared" ref="B107:B108" si="478">AV107</f>
        <v>Std</v>
      </c>
      <c r="C107" t="s">
        <v>999</v>
      </c>
      <c r="D107" t="str">
        <f>D105</f>
        <v>Rng±0, TL±0</v>
      </c>
      <c r="E107" s="189">
        <v>0</v>
      </c>
      <c r="F107" s="190">
        <v>0</v>
      </c>
      <c r="G107" s="191">
        <f>G105</f>
        <v>0</v>
      </c>
      <c r="H107" s="192"/>
      <c r="I107" s="72">
        <f t="shared" ref="I107:I108" si="479">BF107 + BW107 + AW107</f>
        <v>10</v>
      </c>
      <c r="J107" s="86">
        <f xml:space="preserve"> IF( I107&gt;$S105, -1*(G107&gt;0),  G107  )</f>
        <v>0</v>
      </c>
      <c r="K107" s="123">
        <f>J107 * ( (BQ107+CE107+CI107) * CB107 ) * 0</f>
        <v>0</v>
      </c>
      <c r="L107" s="123">
        <f>J107 * ( BI107 * AY107 + (BR107+CF107+CJ107) * CC107 ) * 0</f>
        <v>0</v>
      </c>
      <c r="M107" s="48"/>
      <c r="N107" s="48"/>
      <c r="O107" s="204" t="str">
        <f t="shared" si="386"/>
        <v/>
      </c>
      <c r="P107" s="196" t="str">
        <f>IF(  J107&gt;0,  CONCATENATE( IF(AS107&lt;&gt;0,CONCATENATE(AV107," "),""), BA107, " ", BP107, " ", IF(CE107&gt;0,"Ext ",""), IF(CI107&gt;0,"De ",""), LEFT(A107,4), "-", MAX($S105,I107), " ", IF(AR107&gt;0,"+",IF(AR107=0,"±","")), AR107, " H:", BJ107, " Def", IF(BN107&gt;0,"+",IF(BN107=0,"±","")), BN107), ""  )</f>
        <v/>
      </c>
      <c r="S107" s="223"/>
      <c r="T107" t="str">
        <f xml:space="preserve"> IF( J107&gt;0, CONCATENATE( DQ107, DR107, DS107, DT107, DU107 ), "" )</f>
        <v/>
      </c>
      <c r="Z107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7" s="160" t="str">
        <f t="shared" si="391"/>
        <v/>
      </c>
      <c r="AB107" s="161" t="str">
        <f t="shared" ref="AB107:AB108" si="480" xml:space="preserve"> CONCATENATE( " " &amp; LEFT(P107,30) )</f>
        <v xml:space="preserve"> </v>
      </c>
      <c r="AC107" s="160" t="str">
        <f t="shared" si="282"/>
        <v xml:space="preserve">                              </v>
      </c>
      <c r="AD107" s="160" t="str">
        <f t="shared" ref="AD107:AD108" si="481" xml:space="preserve"> CONCATENATE( REPT(" ",MAX(0,12-LEN(AE107))) )</f>
        <v xml:space="preserve">           </v>
      </c>
      <c r="AE107" s="162" t="str">
        <f t="shared" ref="AE107:AE108" si="482" xml:space="preserve"> CONCATENATE( J107 )</f>
        <v>0</v>
      </c>
      <c r="AF107" s="160" t="str">
        <f t="shared" ref="AF107:AF108" si="483" xml:space="preserve"> CONCATENATE( REPT(" ",MAX(0,12-LEN(AG107))) )</f>
        <v xml:space="preserve">           </v>
      </c>
      <c r="AG107" s="161" t="str">
        <f t="shared" ref="AG107:AG108" si="484" xml:space="preserve"> CONCATENATE( K107 )</f>
        <v>0</v>
      </c>
      <c r="AH107" s="160" t="str">
        <f t="shared" ref="AH107:AH108" si="485" xml:space="preserve"> CONCATENATE( REPT(" ",MAX(0,12-LEN(AI107))) )</f>
        <v xml:space="preserve">           </v>
      </c>
      <c r="AI107" s="163" t="str">
        <f t="shared" ref="AI107:AI108" si="486" xml:space="preserve"> CONCATENATE( L107 )</f>
        <v>0</v>
      </c>
      <c r="AJ107" s="160" t="str">
        <f t="shared" si="283"/>
        <v xml:space="preserve">      </v>
      </c>
      <c r="AK107" s="163" t="str">
        <f t="shared" si="287"/>
        <v/>
      </c>
      <c r="AL107" s="163"/>
      <c r="AM107" s="153">
        <f t="shared" si="407"/>
        <v>0</v>
      </c>
      <c r="AN107" s="153"/>
      <c r="AO107" s="153"/>
      <c r="AP107" s="153"/>
      <c r="AQ107">
        <f t="shared" ref="AQ107:AQ108" si="487">BH107+IF( BH107&gt;10, CA107, BY107 )</f>
        <v>7</v>
      </c>
      <c r="AR107" s="68">
        <f xml:space="preserve"> BB107 + BS107 + CG107 + CK107 + 2*($A107=Tables!$A$453)</f>
        <v>0</v>
      </c>
      <c r="AS107" s="230">
        <f>MIN( H106, $S105 - BF107 - BW107, AS105  )</f>
        <v>0</v>
      </c>
      <c r="AT107" t="s">
        <v>378</v>
      </c>
      <c r="AU107" s="149" t="str">
        <f>VLOOKUP( $AS107, Tables!$A$184:$H$193,  2 )</f>
        <v>Standard</v>
      </c>
      <c r="AV107" s="149" t="str">
        <f>VLOOKUP( $AS107, Tables!$A$184:$H$193,  3 )</f>
        <v>Std</v>
      </c>
      <c r="AW107" s="90">
        <f>VLOOKUP( $AS107, Tables!$A$184:$H$193, 4 )</f>
        <v>0</v>
      </c>
      <c r="AX107" s="149">
        <f>VLOOKUP( $AS107, Tables!$A$184:$H$193,  5 )</f>
        <v>1</v>
      </c>
      <c r="AY107" s="149">
        <f>VLOOKUP( $AS107, Tables!$A$184:$H$193, 6 )</f>
        <v>1</v>
      </c>
      <c r="AZ107" s="149"/>
      <c r="BA107" s="149" t="str">
        <f xml:space="preserve"> VLOOKUP( $AQ107, Tables!$C$366:$H$384, IF($BH107&gt;10,3,6) )</f>
        <v>Vd</v>
      </c>
      <c r="BB107" s="60">
        <f>VLOOKUP( $AS107, Tables!$A$184:$Q$193, 9 )</f>
        <v>0</v>
      </c>
      <c r="BD107" t="s">
        <v>534</v>
      </c>
      <c r="BE107" t="str">
        <f xml:space="preserve"> VLOOKUP( $A107, Tables!$A$451:$F$474, 2, 0 )</f>
        <v>L</v>
      </c>
      <c r="BF107">
        <f xml:space="preserve"> VLOOKUP( $A107, Tables!$A$451:$F$474, 3, 0 )</f>
        <v>10</v>
      </c>
      <c r="BG107">
        <f xml:space="preserve"> VLOOKUP( $A107, Tables!$A$451:$F$474, 4, 0 )</f>
        <v>4</v>
      </c>
      <c r="BH107">
        <f xml:space="preserve"> VLOOKUP( $A107, Tables!$A$451:$F$474, 5, 0 )</f>
        <v>7</v>
      </c>
      <c r="BI107">
        <f xml:space="preserve"> VLOOKUP( $A107, Tables!$A$451:$F$474, 6, 0 )</f>
        <v>0.5</v>
      </c>
      <c r="BJ107" s="1">
        <f xml:space="preserve"> IF(  IFERROR(FIND("issile",A107),0)&gt;0,  "M",  IF(  IFERROR(FIND("SLM",A107),0)&gt;0,  1,  BU107  + 1*($A107=Tables!$A$452)  )  )</f>
        <v>1</v>
      </c>
      <c r="BK107">
        <f t="shared" ref="BK107:BK108" si="488" xml:space="preserve"> BO107 - BG107</f>
        <v>0</v>
      </c>
      <c r="BL107" t="str">
        <f>VLOOKUP( $BG107, Tables!$A$435:$H$447, 2 )</f>
        <v>Single</v>
      </c>
      <c r="BM107" t="s">
        <v>109</v>
      </c>
      <c r="BN107">
        <f xml:space="preserve"> IF(  IFERROR(FIND("SLM",A107),0)&gt;0,  1,  VLOOKUP( $C107, Tables!$B$435:$J$447, 9, 0 ) )</f>
        <v>1</v>
      </c>
      <c r="BO107">
        <f>VLOOKUP( $C107, Tables!$B$435:$H$447, 2, 0 )</f>
        <v>4</v>
      </c>
      <c r="BP107" t="str">
        <f>VLOOKUP( $C107, Tables!$B$435:$H$447, 3, 0 )</f>
        <v>T1</v>
      </c>
      <c r="BQ107">
        <f>VLOOKUP( $C107, Tables!$B$435:$H$447, 4, 0 )</f>
        <v>1</v>
      </c>
      <c r="BR107">
        <f>VLOOKUP( $C107, Tables!$B$435:$H$447, 5, 0 )</f>
        <v>0.2</v>
      </c>
      <c r="BS107">
        <f>VLOOKUP( $C107, Tables!$B$435:$H$447, 6, 0 )</f>
        <v>-2</v>
      </c>
      <c r="BT107">
        <f>VLOOKUP( $C107, Tables!$B$435:$H$447, 7, 0 )</f>
        <v>1</v>
      </c>
      <c r="BU107">
        <f>VLOOKUP( $C107, Tables!$B$435:$I$447, 8, 0 )</f>
        <v>1</v>
      </c>
      <c r="BV107" t="s">
        <v>618</v>
      </c>
      <c r="BW107">
        <f>VLOOKUP( $D107, Tables!$B$388:$J$394, IF( $BH107&lt;10, 2,9), 0 )</f>
        <v>0</v>
      </c>
      <c r="BX107">
        <f>VLOOKUP( $D107, Tables!$B$388:$I$394, 3, 0 )</f>
        <v>7</v>
      </c>
      <c r="BY107">
        <f>VLOOKUP( $D107, Tables!$B$388:$I$394, 4, 0 )</f>
        <v>0</v>
      </c>
      <c r="BZ107">
        <f>VLOOKUP( $D107, Tables!$B$388:$I$394, 5, 0 )</f>
        <v>7</v>
      </c>
      <c r="CA107">
        <f>VLOOKUP( $D107, Tables!$B$388:$I$394, 6, 0 )</f>
        <v>0</v>
      </c>
      <c r="CB107" s="85">
        <f>VLOOKUP( $D107, Tables!$B$388:$L$394, IF( $BH107&lt;10, 7, 10 ), 0 )</f>
        <v>1</v>
      </c>
      <c r="CC107" s="85">
        <f>VLOOKUP( $D107, Tables!$B$388:$L$394, IF( $BH107&lt;10, 8, 11 ), 0 )</f>
        <v>1</v>
      </c>
      <c r="CD107" s="94">
        <f xml:space="preserve"> $S105 - BF107 - BW107</f>
        <v>2</v>
      </c>
      <c r="CE107">
        <f t="shared" ref="CE107:CE108" si="489">($E107&gt;0)*2 * (BO107&gt;3) * (BO107&lt;10)</f>
        <v>0</v>
      </c>
      <c r="CF107">
        <f t="shared" ref="CF107:CF108" si="490">($E107&gt;0)*1 * (BO107&gt;3) * (BO107&lt;10)</f>
        <v>0</v>
      </c>
      <c r="CG107">
        <f t="shared" ref="CG107:CG108" si="491">($E107&gt;0)*3 * (BO107&gt;3) * (BO107&lt;10)</f>
        <v>0</v>
      </c>
      <c r="CI107">
        <f t="shared" ref="CI107:CI108" si="492">($F107&gt;0)*2 * (BO107&gt;3) * (BO107&lt;10)</f>
        <v>0</v>
      </c>
      <c r="CJ107">
        <f t="shared" ref="CJ107:CJ108" si="493">($F107&gt;0)*3 * (BO107&gt;3) * (BO107&lt;10)</f>
        <v>0</v>
      </c>
      <c r="CK107">
        <f t="shared" ref="CK107:CK108" si="494">($F107&gt;0)*0 * (BO107&gt;3) * (BO107&lt;10)</f>
        <v>0</v>
      </c>
      <c r="CM107">
        <f t="shared" ref="CM107:CM108" si="495">BG107</f>
        <v>4</v>
      </c>
      <c r="CN107" t="str">
        <f xml:space="preserve"> VLOOKUP( VLOOKUP( $A107, Tables!$A$451:$G$474, 7, 0 ), Tables!$A$435:$I$447, 2 )</f>
        <v>Triple</v>
      </c>
      <c r="CO107" t="str">
        <f xml:space="preserve"> VLOOKUP( MIN( $CM107+CO$98-$CO$98, $CW$98 ), Tables!$A$435:$I$447, 2 )</f>
        <v>Single</v>
      </c>
      <c r="CP107" t="str">
        <f xml:space="preserve"> VLOOKUP( MIN( $CM107+CP$98-$CO$98, $CW$98 ), Tables!$A$435:$I$447, 2 )</f>
        <v>Double</v>
      </c>
      <c r="CQ107" t="str">
        <f xml:space="preserve"> VLOOKUP( MIN( $CM107+CQ$98-$CO$98, $CW$98 ), Tables!$A$435:$I$447, 2 )</f>
        <v>Triple</v>
      </c>
      <c r="CR107" t="str">
        <f xml:space="preserve"> VLOOKUP( MIN( $CM107+CR$98-$CO$98, $CW$98 ), Tables!$A$435:$I$447, 2 )</f>
        <v>Quad</v>
      </c>
      <c r="CS107" t="str">
        <f xml:space="preserve"> VLOOKUP( MIN( $CM107+CS$98-$CO$98, $CW$98 ), Tables!$A$435:$I$447, 2 )</f>
        <v>Barbette</v>
      </c>
      <c r="CT107" t="str">
        <f xml:space="preserve"> VLOOKUP( MIN( $CM107+CT$98-$CO$98, $CW$98 ), Tables!$A$435:$I$447, 2 )</f>
        <v>Barbette, Double</v>
      </c>
      <c r="CU107" t="str">
        <f xml:space="preserve"> VLOOKUP( MIN( $CM107+CU$98-$CO$98, $CW$98 ), Tables!$A$435:$I$447, 2 )</f>
        <v>Bay</v>
      </c>
      <c r="CV107" t="str">
        <f xml:space="preserve"> VLOOKUP( MIN( $CM107+CV$98-$CO$98, $CW$98 ), Tables!$A$435:$I$447, 2 )</f>
        <v>Bay, Large</v>
      </c>
      <c r="CW107" t="str">
        <f xml:space="preserve"> VLOOKUP( MIN( $CM107+CW$98-$CO$98, $CW$98 ), Tables!$A$435:$I$447, 2 )</f>
        <v>Main</v>
      </c>
      <c r="CY107" s="94">
        <f xml:space="preserve"> $S105-$BF107+IF(Military&gt;0,1,-1)</f>
        <v>1</v>
      </c>
      <c r="CZ107">
        <f t="shared" ref="CZ107:CZ108" si="496" xml:space="preserve"> DE$98 - 1*($DD107&gt;10)</f>
        <v>-2</v>
      </c>
      <c r="DA107">
        <f t="shared" si="418"/>
        <v>3</v>
      </c>
      <c r="DB107" t="str">
        <f t="shared" si="419"/>
        <v>Rng±0, TL±0</v>
      </c>
      <c r="DD107">
        <f t="shared" ref="DD107:DD108" si="497" xml:space="preserve"> BH107</f>
        <v>7</v>
      </c>
      <c r="DE107" t="str">
        <f t="shared" si="421"/>
        <v>Rng-2, TL-2</v>
      </c>
      <c r="DF107" t="str">
        <f t="shared" si="422"/>
        <v>Rng-1, TL-1</v>
      </c>
      <c r="DG107" t="str">
        <f t="shared" si="423"/>
        <v>Rng±0, TL±0</v>
      </c>
      <c r="DH107" t="str">
        <f t="shared" si="424"/>
        <v>Rng+1, TL+1</v>
      </c>
      <c r="DI107" t="str">
        <f t="shared" si="425"/>
        <v>Rng+2, TL+2</v>
      </c>
      <c r="DJ107" t="str">
        <f t="shared" si="426"/>
        <v>Rng+3, TL+3</v>
      </c>
      <c r="DL107">
        <f ca="1" xml:space="preserve"> IF( $AV107=Tables!$C$189, 5, RANDBETWEEN(1,6)+RANDBETWEEN(1,6)-2 )</f>
        <v>2</v>
      </c>
      <c r="DM107">
        <f ca="1" xml:space="preserve"> IF( $AV107=Tables!$C$189, 0, RANDBETWEEN(1,6)-RANDBETWEEN(1,6)+ VLOOKUP( $AS107, Tables!$A$184:$Q$193,  14 ) )</f>
        <v>0</v>
      </c>
      <c r="DN107">
        <f ca="1" xml:space="preserve"> IF( $AV107=Tables!$C$189, 0, RANDBETWEEN(1,6)-RANDBETWEEN(1,6)+ VLOOKUP( $AS107, Tables!$A$184:$Q$193,  15 ) )</f>
        <v>-4</v>
      </c>
      <c r="DO107">
        <f ca="1" xml:space="preserve"> IF( $AV107=Tables!$C$189, 0, RANDBETWEEN(1,6)-RANDBETWEEN(1,6)+ VLOOKUP( $AS107, Tables!$A$184:$Q$193,  16 ) )</f>
        <v>2</v>
      </c>
      <c r="DP107">
        <f ca="1" xml:space="preserve"> IF( $AV107=Tables!$C$189, 0, RANDBETWEEN(1,6)-RANDBETWEEN(1,6)+ VLOOKUP( $AS107, Tables!$A$184:$Q$193,  17 ) )</f>
        <v>2</v>
      </c>
      <c r="DQ107" s="44" t="str">
        <f ca="1" xml:space="preserve"> VLOOKUP( $DL107,Tables!$B$2:$C$36,2)</f>
        <v>2</v>
      </c>
      <c r="DR107" t="str">
        <f t="shared" ref="DR107:DR108" ca="1" si="498" xml:space="preserve"> IF( DM107&lt;0, CONCATENATE( DM107 ), CONCATENATE( " ", DM107 ) )</f>
        <v xml:space="preserve"> 0</v>
      </c>
      <c r="DS107" t="str">
        <f t="shared" ref="DS107:DS108" ca="1" si="499" xml:space="preserve"> IF( DN107&lt;0, CONCATENATE( DN107 ), CONCATENATE( " ", DN107 ) )</f>
        <v>-4</v>
      </c>
      <c r="DT107" t="str">
        <f t="shared" ref="DT107:DT108" ca="1" si="500" xml:space="preserve"> IF( DO107&lt;0, CONCATENATE( DO107 ), CONCATENATE( " ", DO107 ) )</f>
        <v xml:space="preserve"> 2</v>
      </c>
      <c r="DU107" t="str">
        <f t="shared" ref="DU107:DU108" ca="1" si="501" xml:space="preserve"> IF( DP107&lt;0, CONCATENATE( DP107 ), CONCATENATE( " ", DP107 ) )</f>
        <v xml:space="preserve"> 2</v>
      </c>
      <c r="DW107" s="194">
        <f xml:space="preserve"> SUM( DX$4:DX107, -DX107 )</f>
        <v>0</v>
      </c>
      <c r="DX107" s="194">
        <v>0</v>
      </c>
      <c r="DY107" s="194">
        <f xml:space="preserve"> SUM( DZ$4:DZ107, -DZ107 )</f>
        <v>13</v>
      </c>
      <c r="DZ107" s="194">
        <v>0</v>
      </c>
      <c r="EA107" s="194">
        <f xml:space="preserve"> SUM( EB$4:EB107, -EB107 )</f>
        <v>12</v>
      </c>
      <c r="EB107" s="194">
        <v>0</v>
      </c>
      <c r="EC107" s="194">
        <f xml:space="preserve"> SUM( ED$4:ED107, -ED107 )</f>
        <v>0</v>
      </c>
      <c r="ED107" s="194">
        <v>0</v>
      </c>
      <c r="EE107" s="194">
        <f xml:space="preserve"> SUM( EF$4:EF107, -EF107 )</f>
        <v>2.6</v>
      </c>
      <c r="EF107" s="194">
        <v>0</v>
      </c>
      <c r="EG107" s="194">
        <f xml:space="preserve"> SUM( EH$4:EH107, -EH107 )</f>
        <v>0</v>
      </c>
      <c r="EH107" s="194">
        <v>0</v>
      </c>
      <c r="EI107" s="194">
        <f xml:space="preserve"> SUM( EJ$4:EJ107, -EJ107 )</f>
        <v>32.4</v>
      </c>
      <c r="EJ107" s="194">
        <v>0</v>
      </c>
      <c r="EK107" s="194">
        <f xml:space="preserve"> SUM( EL$4:EL107, -EL107 )</f>
        <v>0</v>
      </c>
      <c r="EL107" s="194">
        <v>0</v>
      </c>
      <c r="EM107" s="194">
        <f xml:space="preserve"> SUM( EN$4:EN107, -EN107 )</f>
        <v>0</v>
      </c>
      <c r="EN107" s="194">
        <v>0</v>
      </c>
      <c r="EO107" s="194">
        <f xml:space="preserve"> SUM( EP$4:EP107, -EP107 )</f>
        <v>0</v>
      </c>
      <c r="EP107" s="194">
        <v>0</v>
      </c>
      <c r="EQ107" s="194">
        <f xml:space="preserve"> SUM( ER$4:ER107, -ER107 )</f>
        <v>24</v>
      </c>
      <c r="ER107" s="194">
        <v>0</v>
      </c>
      <c r="ES107" s="194">
        <f xml:space="preserve"> SUM( ET$4:ET107, -ET107 )</f>
        <v>0</v>
      </c>
      <c r="ET107" s="194">
        <v>0</v>
      </c>
      <c r="EU107" s="194">
        <f xml:space="preserve"> SUM( EV$4:EV107, -EV107 )</f>
        <v>10</v>
      </c>
      <c r="EV107" s="194">
        <v>0</v>
      </c>
      <c r="EW107" s="194">
        <f xml:space="preserve"> SUM( EX$4:EX107, -EX107 )</f>
        <v>6</v>
      </c>
      <c r="EX107" s="194">
        <v>0</v>
      </c>
      <c r="EZ107" t="str">
        <f t="shared" ref="EZ107:EZ108" si="502">A107</f>
        <v>Beam Laser</v>
      </c>
      <c r="FB107" s="237">
        <f xml:space="preserve"> SUM( FC$4:FC107, -FC107 )</f>
        <v>4</v>
      </c>
      <c r="FC107" s="237">
        <v>0</v>
      </c>
      <c r="FD107" s="237">
        <f xml:space="preserve"> SUM( FE$4:FE107, -FE107 )</f>
        <v>1</v>
      </c>
      <c r="FE107" s="237">
        <v>0</v>
      </c>
      <c r="FF107" t="str">
        <f t="shared" si="428"/>
        <v>Beam Laser T1</v>
      </c>
    </row>
    <row r="108" spans="1:162">
      <c r="A108" s="188" t="s">
        <v>20</v>
      </c>
      <c r="B108" s="149" t="str">
        <f t="shared" si="478"/>
        <v>Std</v>
      </c>
      <c r="C108" t="s">
        <v>999</v>
      </c>
      <c r="D108" t="str">
        <f>D105</f>
        <v>Rng±0, TL±0</v>
      </c>
      <c r="E108" s="189">
        <v>0</v>
      </c>
      <c r="F108" s="190">
        <v>0</v>
      </c>
      <c r="G108" s="191">
        <f>G105</f>
        <v>0</v>
      </c>
      <c r="H108" s="192"/>
      <c r="I108" s="72">
        <f t="shared" si="479"/>
        <v>7</v>
      </c>
      <c r="J108" s="86">
        <f xml:space="preserve"> IF( I108&gt;$S105, -1*(G108&gt;0),  G108  )</f>
        <v>0</v>
      </c>
      <c r="K108" s="123">
        <f>J108 * ( (BQ108+CE108+CI108) * CB108 ) * 0</f>
        <v>0</v>
      </c>
      <c r="L108" s="123">
        <f>J108 * ( BI108 * AY108 + (BR108+CF108+CJ108) * CC108 ) * 0</f>
        <v>0</v>
      </c>
      <c r="M108" s="48"/>
      <c r="N108" s="48"/>
      <c r="O108" s="204" t="str">
        <f t="shared" si="386"/>
        <v/>
      </c>
      <c r="P108" s="196" t="str">
        <f>IF(  J108&gt;0,  CONCATENATE( IF(AS108&lt;&gt;0,CONCATENATE(AV108," "),""), BA108, " ", BP108, " ", IF(CE108&gt;0,"Ext ",""), IF(CI108&gt;0,"De ",""), LEFT(A108,4), "-", MAX($S105,I108), " ", IF(AR108&gt;0,"+",IF(AR108=0,"±","")), AR108, " H:", BJ108, " Def", IF(BN108&gt;0,"+",IF(BN108=0,"±","")), BN108), ""  )</f>
        <v/>
      </c>
      <c r="S108" s="223"/>
      <c r="T108" t="str">
        <f xml:space="preserve"> IF( J108&gt;0, CONCATENATE( DQ108, DR108, DS108, DT108, DU108 ), "" )</f>
        <v/>
      </c>
      <c r="Z108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8" s="160" t="str">
        <f t="shared" si="391"/>
        <v/>
      </c>
      <c r="AB108" s="161" t="str">
        <f t="shared" si="480"/>
        <v xml:space="preserve"> </v>
      </c>
      <c r="AC108" s="160" t="str">
        <f t="shared" si="282"/>
        <v xml:space="preserve">                              </v>
      </c>
      <c r="AD108" s="160" t="str">
        <f t="shared" si="481"/>
        <v xml:space="preserve">           </v>
      </c>
      <c r="AE108" s="162" t="str">
        <f t="shared" si="482"/>
        <v>0</v>
      </c>
      <c r="AF108" s="160" t="str">
        <f t="shared" si="483"/>
        <v xml:space="preserve">           </v>
      </c>
      <c r="AG108" s="161" t="str">
        <f t="shared" si="484"/>
        <v>0</v>
      </c>
      <c r="AH108" s="160" t="str">
        <f t="shared" si="485"/>
        <v xml:space="preserve">           </v>
      </c>
      <c r="AI108" s="163" t="str">
        <f t="shared" si="486"/>
        <v>0</v>
      </c>
      <c r="AJ108" s="160" t="str">
        <f t="shared" si="283"/>
        <v xml:space="preserve">      </v>
      </c>
      <c r="AK108" s="163" t="str">
        <f t="shared" si="287"/>
        <v/>
      </c>
      <c r="AL108" s="163"/>
      <c r="AM108" s="153">
        <f t="shared" si="407"/>
        <v>0</v>
      </c>
      <c r="AN108" s="153"/>
      <c r="AO108" s="153"/>
      <c r="AP108" s="153"/>
      <c r="AQ108">
        <f t="shared" si="487"/>
        <v>12</v>
      </c>
      <c r="AR108" s="68">
        <f xml:space="preserve"> BB108 + BS108 + CG108 + CK108 + 2*($A108=Tables!$A$453)</f>
        <v>-2</v>
      </c>
      <c r="AS108" s="230">
        <f>MIN( H107, $S105 - BF108 - BW108, AS105  )</f>
        <v>0</v>
      </c>
      <c r="AT108" t="s">
        <v>378</v>
      </c>
      <c r="AU108" s="149" t="str">
        <f>VLOOKUP( $AS108, Tables!$A$184:$H$193,  2 )</f>
        <v>Standard</v>
      </c>
      <c r="AV108" s="149" t="str">
        <f>VLOOKUP( $AS108, Tables!$A$184:$H$193,  3 )</f>
        <v>Std</v>
      </c>
      <c r="AW108" s="90">
        <f>VLOOKUP( $AS108, Tables!$A$184:$H$193, 4 )</f>
        <v>0</v>
      </c>
      <c r="AX108" s="149">
        <f>VLOOKUP( $AS108, Tables!$A$184:$H$193,  5 )</f>
        <v>1</v>
      </c>
      <c r="AY108" s="149">
        <f>VLOOKUP( $AS108, Tables!$A$184:$H$193, 6 )</f>
        <v>1</v>
      </c>
      <c r="AZ108" s="149"/>
      <c r="BA108" s="149" t="str">
        <f xml:space="preserve"> VLOOKUP( $AQ108, Tables!$C$366:$H$384, IF($BH108&gt;10,3,6) )</f>
        <v>AR</v>
      </c>
      <c r="BB108" s="60">
        <f>VLOOKUP( $AS108, Tables!$A$184:$Q$193, 9 )</f>
        <v>0</v>
      </c>
      <c r="BD108" t="s">
        <v>534</v>
      </c>
      <c r="BE108" t="str">
        <f xml:space="preserve"> VLOOKUP( $A108, Tables!$A$451:$F$474, 2, 0 )</f>
        <v>M</v>
      </c>
      <c r="BF108">
        <f xml:space="preserve"> VLOOKUP( $A108, Tables!$A$451:$F$474, 3, 0 )</f>
        <v>7</v>
      </c>
      <c r="BG108">
        <f xml:space="preserve"> VLOOKUP( $A108, Tables!$A$451:$F$474, 4, 0 )</f>
        <v>4</v>
      </c>
      <c r="BH108">
        <f xml:space="preserve"> VLOOKUP( $A108, Tables!$A$451:$F$474, 5, 0 )</f>
        <v>12</v>
      </c>
      <c r="BI108">
        <f xml:space="preserve"> VLOOKUP( $A108, Tables!$A$451:$F$474, 6, 0 )</f>
        <v>2</v>
      </c>
      <c r="BJ108" s="1" t="str">
        <f xml:space="preserve"> IF(  IFERROR(FIND("issile",A108),0)&gt;0,  "M",  IF(  IFERROR(FIND("SLM",A108),0)&gt;0,  1,  BU108  + 1*($A108=Tables!$A$452)  )  )</f>
        <v>M</v>
      </c>
      <c r="BK108">
        <f t="shared" si="488"/>
        <v>0</v>
      </c>
      <c r="BL108" t="str">
        <f>VLOOKUP( $BG108, Tables!$A$435:$H$447, 2 )</f>
        <v>Single</v>
      </c>
      <c r="BM108" t="s">
        <v>109</v>
      </c>
      <c r="BN108">
        <f xml:space="preserve"> IF(  IFERROR(FIND("SLM",A108),0)&gt;0,  1,  VLOOKUP( $C108, Tables!$B$435:$J$447, 9, 0 ) )</f>
        <v>1</v>
      </c>
      <c r="BO108">
        <f>VLOOKUP( $C108, Tables!$B$435:$H$447, 2, 0 )</f>
        <v>4</v>
      </c>
      <c r="BP108" t="str">
        <f>VLOOKUP( $C108, Tables!$B$435:$H$447, 3, 0 )</f>
        <v>T1</v>
      </c>
      <c r="BQ108">
        <f>VLOOKUP( $C108, Tables!$B$435:$H$447, 4, 0 )</f>
        <v>1</v>
      </c>
      <c r="BR108">
        <f>VLOOKUP( $C108, Tables!$B$435:$H$447, 5, 0 )</f>
        <v>0.2</v>
      </c>
      <c r="BS108">
        <f>VLOOKUP( $C108, Tables!$B$435:$H$447, 6, 0 )</f>
        <v>-2</v>
      </c>
      <c r="BT108">
        <f>VLOOKUP( $C108, Tables!$B$435:$H$447, 7, 0 )</f>
        <v>1</v>
      </c>
      <c r="BU108">
        <f>VLOOKUP( $C108, Tables!$B$435:$I$447, 8, 0 )</f>
        <v>1</v>
      </c>
      <c r="BV108" t="s">
        <v>618</v>
      </c>
      <c r="BW108">
        <f>VLOOKUP( $D108, Tables!$B$388:$J$394, IF( $BH108&lt;10, 2,9), 0 )</f>
        <v>0</v>
      </c>
      <c r="BX108">
        <f>VLOOKUP( $D108, Tables!$B$388:$I$394, 3, 0 )</f>
        <v>7</v>
      </c>
      <c r="BY108">
        <f>VLOOKUP( $D108, Tables!$B$388:$I$394, 4, 0 )</f>
        <v>0</v>
      </c>
      <c r="BZ108">
        <f>VLOOKUP( $D108, Tables!$B$388:$I$394, 5, 0 )</f>
        <v>7</v>
      </c>
      <c r="CA108">
        <f>VLOOKUP( $D108, Tables!$B$388:$I$394, 6, 0 )</f>
        <v>0</v>
      </c>
      <c r="CB108" s="85">
        <f>VLOOKUP( $D108, Tables!$B$388:$L$394, IF( $BH108&lt;10, 7, 10 ), 0 )</f>
        <v>1</v>
      </c>
      <c r="CC108" s="85">
        <f>VLOOKUP( $D108, Tables!$B$388:$L$394, IF( $BH108&lt;10, 8, 11 ), 0 )</f>
        <v>1</v>
      </c>
      <c r="CD108" s="94">
        <f xml:space="preserve"> $S105 - BF108 - BW108</f>
        <v>5</v>
      </c>
      <c r="CE108">
        <f t="shared" si="489"/>
        <v>0</v>
      </c>
      <c r="CF108">
        <f t="shared" si="490"/>
        <v>0</v>
      </c>
      <c r="CG108">
        <f t="shared" si="491"/>
        <v>0</v>
      </c>
      <c r="CI108">
        <f t="shared" si="492"/>
        <v>0</v>
      </c>
      <c r="CJ108">
        <f t="shared" si="493"/>
        <v>0</v>
      </c>
      <c r="CK108">
        <f t="shared" si="494"/>
        <v>0</v>
      </c>
      <c r="CM108">
        <f t="shared" si="495"/>
        <v>4</v>
      </c>
      <c r="CN108" t="str">
        <f xml:space="preserve"> VLOOKUP( VLOOKUP( $A108, Tables!$A$451:$G$474, 7, 0 ), Tables!$A$435:$I$447, 2 )</f>
        <v>Triple</v>
      </c>
      <c r="CO108" t="str">
        <f xml:space="preserve"> VLOOKUP( MIN( $CM108+CO$98-$CO$98, $CW$98 ), Tables!$A$435:$I$447, 2 )</f>
        <v>Single</v>
      </c>
      <c r="CP108" t="str">
        <f xml:space="preserve"> VLOOKUP( MIN( $CM108+CP$98-$CO$98, $CW$98 ), Tables!$A$435:$I$447, 2 )</f>
        <v>Double</v>
      </c>
      <c r="CQ108" t="str">
        <f xml:space="preserve"> VLOOKUP( MIN( $CM108+CQ$98-$CO$98, $CW$98 ), Tables!$A$435:$I$447, 2 )</f>
        <v>Triple</v>
      </c>
      <c r="CR108" t="str">
        <f xml:space="preserve"> VLOOKUP( MIN( $CM108+CR$98-$CO$98, $CW$98 ), Tables!$A$435:$I$447, 2 )</f>
        <v>Quad</v>
      </c>
      <c r="CS108" t="str">
        <f xml:space="preserve"> VLOOKUP( MIN( $CM108+CS$98-$CO$98, $CW$98 ), Tables!$A$435:$I$447, 2 )</f>
        <v>Barbette</v>
      </c>
      <c r="CT108" t="str">
        <f xml:space="preserve"> VLOOKUP( MIN( $CM108+CT$98-$CO$98, $CW$98 ), Tables!$A$435:$I$447, 2 )</f>
        <v>Barbette, Double</v>
      </c>
      <c r="CU108" t="str">
        <f xml:space="preserve"> VLOOKUP( MIN( $CM108+CU$98-$CO$98, $CW$98 ), Tables!$A$435:$I$447, 2 )</f>
        <v>Bay</v>
      </c>
      <c r="CV108" t="str">
        <f xml:space="preserve"> VLOOKUP( MIN( $CM108+CV$98-$CO$98, $CW$98 ), Tables!$A$435:$I$447, 2 )</f>
        <v>Bay, Large</v>
      </c>
      <c r="CW108" t="str">
        <f xml:space="preserve"> VLOOKUP( MIN( $CM108+CW$98-$CO$98, $CW$98 ), Tables!$A$435:$I$447, 2 )</f>
        <v>Main</v>
      </c>
      <c r="CY108" s="94">
        <f xml:space="preserve"> $S105-$BF108+IF(Military&gt;0,1,-1)</f>
        <v>4</v>
      </c>
      <c r="CZ108">
        <f t="shared" si="496"/>
        <v>-3</v>
      </c>
      <c r="DA108">
        <f t="shared" si="418"/>
        <v>2</v>
      </c>
      <c r="DB108" t="str">
        <f t="shared" si="419"/>
        <v>Rng±0, TL±0</v>
      </c>
      <c r="DD108">
        <f t="shared" si="497"/>
        <v>12</v>
      </c>
      <c r="DE108" t="str">
        <f t="shared" si="421"/>
        <v>Rng-3, TL-3</v>
      </c>
      <c r="DF108" t="str">
        <f t="shared" si="422"/>
        <v>Rng-2, TL-2</v>
      </c>
      <c r="DG108" t="str">
        <f t="shared" si="423"/>
        <v>Rng-1, TL-1</v>
      </c>
      <c r="DH108" t="str">
        <f t="shared" si="424"/>
        <v>Rng±0, TL±0</v>
      </c>
      <c r="DI108" t="str">
        <f t="shared" si="425"/>
        <v>Rng+1, TL+1</v>
      </c>
      <c r="DJ108" t="str">
        <f t="shared" si="426"/>
        <v>Rng+2, TL+2</v>
      </c>
      <c r="DL108">
        <f ca="1" xml:space="preserve"> IF( $AV108=Tables!$C$189, 5, RANDBETWEEN(1,6)+RANDBETWEEN(1,6)-2 )</f>
        <v>5</v>
      </c>
      <c r="DM108">
        <f ca="1" xml:space="preserve"> IF( $AV108=Tables!$C$189, 0, RANDBETWEEN(1,6)-RANDBETWEEN(1,6)+ VLOOKUP( $AS108, Tables!$A$184:$Q$193,  14 ) )</f>
        <v>1</v>
      </c>
      <c r="DN108">
        <f ca="1" xml:space="preserve"> IF( $AV108=Tables!$C$189, 0, RANDBETWEEN(1,6)-RANDBETWEEN(1,6)+ VLOOKUP( $AS108, Tables!$A$184:$Q$193,  15 ) )</f>
        <v>-3</v>
      </c>
      <c r="DO108">
        <f ca="1" xml:space="preserve"> IF( $AV108=Tables!$C$189, 0, RANDBETWEEN(1,6)-RANDBETWEEN(1,6)+ VLOOKUP( $AS108, Tables!$A$184:$Q$193,  16 ) )</f>
        <v>0</v>
      </c>
      <c r="DP108">
        <f ca="1" xml:space="preserve"> IF( $AV108=Tables!$C$189, 0, RANDBETWEEN(1,6)-RANDBETWEEN(1,6)+ VLOOKUP( $AS108, Tables!$A$184:$Q$193,  17 ) )</f>
        <v>2</v>
      </c>
      <c r="DQ108" s="44" t="str">
        <f ca="1" xml:space="preserve"> VLOOKUP( $DL108,Tables!$B$2:$C$36,2)</f>
        <v>5</v>
      </c>
      <c r="DR108" t="str">
        <f t="shared" ca="1" si="498"/>
        <v xml:space="preserve"> 1</v>
      </c>
      <c r="DS108" t="str">
        <f t="shared" ca="1" si="499"/>
        <v>-3</v>
      </c>
      <c r="DT108" t="str">
        <f t="shared" ca="1" si="500"/>
        <v xml:space="preserve"> 0</v>
      </c>
      <c r="DU108" t="str">
        <f t="shared" ca="1" si="501"/>
        <v xml:space="preserve"> 2</v>
      </c>
      <c r="DW108" s="194">
        <f xml:space="preserve"> SUM( DX$4:DX108, -DX108 )</f>
        <v>0</v>
      </c>
      <c r="DX108" s="194">
        <v>0</v>
      </c>
      <c r="DY108" s="194">
        <f xml:space="preserve"> SUM( DZ$4:DZ108, -DZ108 )</f>
        <v>13</v>
      </c>
      <c r="DZ108" s="194">
        <v>0</v>
      </c>
      <c r="EA108" s="194">
        <f xml:space="preserve"> SUM( EB$4:EB108, -EB108 )</f>
        <v>12</v>
      </c>
      <c r="EB108" s="194">
        <v>0</v>
      </c>
      <c r="EC108" s="194">
        <f xml:space="preserve"> SUM( ED$4:ED108, -ED108 )</f>
        <v>0</v>
      </c>
      <c r="ED108" s="194">
        <v>0</v>
      </c>
      <c r="EE108" s="194">
        <f xml:space="preserve"> SUM( EF$4:EF108, -EF108 )</f>
        <v>2.6</v>
      </c>
      <c r="EF108" s="194">
        <v>0</v>
      </c>
      <c r="EG108" s="194">
        <f xml:space="preserve"> SUM( EH$4:EH108, -EH108 )</f>
        <v>0</v>
      </c>
      <c r="EH108" s="194">
        <v>0</v>
      </c>
      <c r="EI108" s="194">
        <f xml:space="preserve"> SUM( EJ$4:EJ108, -EJ108 )</f>
        <v>32.4</v>
      </c>
      <c r="EJ108" s="194">
        <v>0</v>
      </c>
      <c r="EK108" s="194">
        <f xml:space="preserve"> SUM( EL$4:EL108, -EL108 )</f>
        <v>0</v>
      </c>
      <c r="EL108" s="194">
        <v>0</v>
      </c>
      <c r="EM108" s="194">
        <f xml:space="preserve"> SUM( EN$4:EN108, -EN108 )</f>
        <v>0</v>
      </c>
      <c r="EN108" s="194">
        <v>0</v>
      </c>
      <c r="EO108" s="194">
        <f xml:space="preserve"> SUM( EP$4:EP108, -EP108 )</f>
        <v>0</v>
      </c>
      <c r="EP108" s="194">
        <v>0</v>
      </c>
      <c r="EQ108" s="194">
        <f xml:space="preserve"> SUM( ER$4:ER108, -ER108 )</f>
        <v>24</v>
      </c>
      <c r="ER108" s="194">
        <v>0</v>
      </c>
      <c r="ES108" s="194">
        <f xml:space="preserve"> SUM( ET$4:ET108, -ET108 )</f>
        <v>0</v>
      </c>
      <c r="ET108" s="194">
        <v>0</v>
      </c>
      <c r="EU108" s="194">
        <f xml:space="preserve"> SUM( EV$4:EV108, -EV108 )</f>
        <v>10</v>
      </c>
      <c r="EV108" s="194">
        <v>0</v>
      </c>
      <c r="EW108" s="194">
        <f xml:space="preserve"> SUM( EX$4:EX108, -EX108 )</f>
        <v>6</v>
      </c>
      <c r="EX108" s="194">
        <v>0</v>
      </c>
      <c r="EZ108" t="str">
        <f t="shared" si="502"/>
        <v>Missile</v>
      </c>
      <c r="FB108" s="237">
        <f xml:space="preserve"> SUM( FC$4:FC108, -FC108 )</f>
        <v>4</v>
      </c>
      <c r="FC108" s="237">
        <v>0</v>
      </c>
      <c r="FD108" s="237">
        <f xml:space="preserve"> SUM( FE$4:FE108, -FE108 )</f>
        <v>1</v>
      </c>
      <c r="FE108" s="237">
        <v>0</v>
      </c>
      <c r="FF108" t="str">
        <f t="shared" si="428"/>
        <v>Missile T1</v>
      </c>
    </row>
    <row r="109" spans="1:162">
      <c r="J109" s="48"/>
      <c r="K109" s="51"/>
      <c r="L109" s="51"/>
      <c r="M109" s="48"/>
      <c r="N109" s="48"/>
      <c r="O109" s="44"/>
      <c r="S109" s="223"/>
      <c r="Z109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09" s="160" t="str">
        <f xml:space="preserve"> IF( OR(SUM(L98:L109)&gt;0), CONCATENATE( newline &amp; AB109 &amp; AC109 &amp; AD109 &amp; AE109 &amp; AF109 &amp; AG109 &amp; AH109 &amp; AI109 &amp; AJ109 &amp; AK109 ), "" )</f>
        <v/>
      </c>
      <c r="AB109" s="161" t="str">
        <f t="shared" si="231"/>
        <v/>
      </c>
      <c r="AC109" s="160" t="str">
        <f t="shared" si="282"/>
        <v xml:space="preserve">                               </v>
      </c>
      <c r="AD109" s="160" t="str">
        <f t="shared" si="289"/>
        <v xml:space="preserve">            </v>
      </c>
      <c r="AE109" s="162" t="str">
        <f t="shared" si="232"/>
        <v/>
      </c>
      <c r="AF109" s="160" t="str">
        <f t="shared" si="290"/>
        <v xml:space="preserve">            </v>
      </c>
      <c r="AG109" s="161" t="str">
        <f t="shared" si="233"/>
        <v/>
      </c>
      <c r="AH109" s="160" t="str">
        <f t="shared" si="327"/>
        <v xml:space="preserve">            </v>
      </c>
      <c r="AI109" s="163" t="str">
        <f t="shared" si="234"/>
        <v/>
      </c>
      <c r="AJ109" s="160" t="str">
        <f t="shared" si="283"/>
        <v xml:space="preserve">      </v>
      </c>
      <c r="AK109" s="163" t="str">
        <f t="shared" si="287"/>
        <v/>
      </c>
      <c r="AL109" s="163"/>
      <c r="AM109" s="153"/>
      <c r="AN109" s="153"/>
      <c r="AO109" s="153">
        <f t="shared" ref="AO109:AO110" si="503" xml:space="preserve"> J109 * ( L109&gt;0 )</f>
        <v>0</v>
      </c>
      <c r="AP109" s="153"/>
      <c r="CF109" s="1" t="s">
        <v>490</v>
      </c>
      <c r="CJ109" s="1" t="s">
        <v>19</v>
      </c>
      <c r="DL109"/>
      <c r="DQ109" s="44"/>
      <c r="DW109" s="194">
        <f xml:space="preserve"> SUM( DX$4:DX109, -DX109 )</f>
        <v>0</v>
      </c>
      <c r="DX109" s="194">
        <v>0</v>
      </c>
      <c r="DY109" s="194">
        <f xml:space="preserve"> SUM( DZ$4:DZ109, -DZ109 )</f>
        <v>13</v>
      </c>
      <c r="DZ109" s="194">
        <v>0</v>
      </c>
      <c r="EA109" s="194">
        <f xml:space="preserve"> SUM( EB$4:EB109, -EB109 )</f>
        <v>12</v>
      </c>
      <c r="EB109" s="194">
        <v>0</v>
      </c>
      <c r="EC109" s="194">
        <f xml:space="preserve"> SUM( ED$4:ED109, -ED109 )</f>
        <v>0</v>
      </c>
      <c r="ED109" s="194">
        <v>0</v>
      </c>
      <c r="EE109" s="194">
        <f xml:space="preserve"> SUM( EF$4:EF109, -EF109 )</f>
        <v>2.6</v>
      </c>
      <c r="EF109" s="194">
        <v>0</v>
      </c>
      <c r="EG109" s="194">
        <f xml:space="preserve"> SUM( EH$4:EH109, -EH109 )</f>
        <v>0</v>
      </c>
      <c r="EH109" s="194">
        <v>0</v>
      </c>
      <c r="EI109" s="194">
        <f xml:space="preserve"> SUM( EJ$4:EJ109, -EJ109 )</f>
        <v>32.4</v>
      </c>
      <c r="EJ109" s="194">
        <v>0</v>
      </c>
      <c r="EK109" s="194">
        <f xml:space="preserve"> SUM( EL$4:EL109, -EL109 )</f>
        <v>0</v>
      </c>
      <c r="EL109" s="194">
        <v>0</v>
      </c>
      <c r="EM109" s="194">
        <f xml:space="preserve"> SUM( EN$4:EN109, -EN109 )</f>
        <v>0</v>
      </c>
      <c r="EN109" s="194">
        <v>0</v>
      </c>
      <c r="EO109" s="194">
        <f xml:space="preserve"> SUM( EP$4:EP109, -EP109 )</f>
        <v>0</v>
      </c>
      <c r="EP109" s="194">
        <v>0</v>
      </c>
      <c r="EQ109" s="194">
        <f xml:space="preserve"> SUM( ER$4:ER109, -ER109 )</f>
        <v>24</v>
      </c>
      <c r="ER109" s="194">
        <v>0</v>
      </c>
      <c r="ES109" s="194">
        <f xml:space="preserve"> SUM( ET$4:ET109, -ET109 )</f>
        <v>0</v>
      </c>
      <c r="ET109" s="194">
        <v>0</v>
      </c>
      <c r="EU109" s="194">
        <f xml:space="preserve"> SUM( EV$4:EV109, -EV109 )</f>
        <v>10</v>
      </c>
      <c r="EV109" s="194">
        <v>0</v>
      </c>
      <c r="EW109" s="194">
        <f xml:space="preserve"> SUM( EX$4:EX109, -EX109 )</f>
        <v>6</v>
      </c>
      <c r="EX109" s="194">
        <v>0</v>
      </c>
      <c r="EZ109">
        <f t="shared" si="312"/>
        <v>0</v>
      </c>
      <c r="FB109" s="237">
        <f xml:space="preserve"> SUM( FC$4:FC109, -FC109 )</f>
        <v>4</v>
      </c>
      <c r="FC109" s="237">
        <v>0</v>
      </c>
      <c r="FD109" s="237">
        <f xml:space="preserve"> SUM( FE$4:FE109, -FE109 )</f>
        <v>1</v>
      </c>
      <c r="FE109" s="237">
        <v>0</v>
      </c>
      <c r="FF109">
        <f t="shared" si="288"/>
        <v>0</v>
      </c>
    </row>
    <row r="110" spans="1:162">
      <c r="A110" s="54" t="s">
        <v>810</v>
      </c>
      <c r="B110" t="s">
        <v>179</v>
      </c>
      <c r="C110" s="66" t="s">
        <v>464</v>
      </c>
      <c r="D110" s="66" t="s">
        <v>1147</v>
      </c>
      <c r="E110" s="66" t="s">
        <v>526</v>
      </c>
      <c r="F110" s="66" t="s">
        <v>329</v>
      </c>
      <c r="G110" s="1" t="s">
        <v>1114</v>
      </c>
      <c r="H110" s="28" t="s">
        <v>179</v>
      </c>
      <c r="I110" s="70" t="s">
        <v>80</v>
      </c>
      <c r="J110" s="48"/>
      <c r="K110" s="51"/>
      <c r="L110" s="51"/>
      <c r="M110" s="48"/>
      <c r="N110" s="48"/>
      <c r="O110" s="44" t="s">
        <v>865</v>
      </c>
      <c r="P110" s="66" t="s">
        <v>217</v>
      </c>
      <c r="Q110" s="44"/>
      <c r="R110" s="44"/>
      <c r="S110" s="223"/>
      <c r="T110" s="44"/>
      <c r="U110" s="44"/>
      <c r="V110" s="44"/>
      <c r="W110" s="44"/>
      <c r="X110" s="44"/>
      <c r="Y110" s="155"/>
      <c r="Z110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0" s="160" t="str">
        <f xml:space="preserve"> IF( OR(SUM(L110:L114)&gt;0), CONCATENATE( newline &amp; AB110 &amp; AC110 &amp; AD110 &amp; AE110 &amp; AF110 &amp; AG110 &amp; AH110 &amp; AI110 &amp; AJ110 &amp; AK110 ), "" )</f>
        <v/>
      </c>
      <c r="AB110" s="161" t="str">
        <f t="shared" si="231"/>
        <v>Screens</v>
      </c>
      <c r="AC110" s="160" t="str">
        <f t="shared" si="282"/>
        <v xml:space="preserve">                        </v>
      </c>
      <c r="AD110" s="160" t="str">
        <f t="shared" si="289"/>
        <v xml:space="preserve">            </v>
      </c>
      <c r="AE110" s="162" t="str">
        <f t="shared" si="232"/>
        <v/>
      </c>
      <c r="AF110" s="160" t="str">
        <f t="shared" si="290"/>
        <v xml:space="preserve">            </v>
      </c>
      <c r="AG110" s="161" t="str">
        <f t="shared" si="233"/>
        <v/>
      </c>
      <c r="AH110" s="160" t="str">
        <f t="shared" si="327"/>
        <v xml:space="preserve">            </v>
      </c>
      <c r="AI110" s="163" t="str">
        <f t="shared" si="234"/>
        <v/>
      </c>
      <c r="AJ110" s="160" t="str">
        <f t="shared" si="283"/>
        <v xml:space="preserve">      </v>
      </c>
      <c r="AK110" s="163" t="str">
        <f t="shared" si="287"/>
        <v/>
      </c>
      <c r="AL110" s="163"/>
      <c r="AM110" s="153"/>
      <c r="AN110" s="153"/>
      <c r="AO110" s="153">
        <f t="shared" si="503"/>
        <v>0</v>
      </c>
      <c r="AP110" s="153"/>
      <c r="AQ110" s="1" t="s">
        <v>865</v>
      </c>
      <c r="AR110" s="18" t="s">
        <v>949</v>
      </c>
      <c r="AS110" t="s">
        <v>397</v>
      </c>
      <c r="BE110" t="s">
        <v>643</v>
      </c>
      <c r="BF110" s="1" t="s">
        <v>227</v>
      </c>
      <c r="BG110" s="1" t="s">
        <v>931</v>
      </c>
      <c r="BH110" s="1" t="s">
        <v>865</v>
      </c>
      <c r="BI110" s="1" t="s">
        <v>1045</v>
      </c>
      <c r="BJ110" s="1"/>
      <c r="BK110" s="1" t="s">
        <v>37</v>
      </c>
      <c r="BL110" s="1" t="s">
        <v>671</v>
      </c>
      <c r="BN110" s="1" t="s">
        <v>548</v>
      </c>
      <c r="BO110" s="1" t="s">
        <v>492</v>
      </c>
      <c r="BP110" s="1" t="s">
        <v>854</v>
      </c>
      <c r="BQ110" s="1" t="s">
        <v>869</v>
      </c>
      <c r="BR110" s="1" t="s">
        <v>56</v>
      </c>
      <c r="BS110" s="1" t="s">
        <v>949</v>
      </c>
      <c r="BT110" s="1" t="s">
        <v>241</v>
      </c>
      <c r="BU110" s="1"/>
      <c r="BV110" s="1"/>
      <c r="BW110" s="1" t="s">
        <v>227</v>
      </c>
      <c r="BX110" s="1" t="s">
        <v>400</v>
      </c>
      <c r="BY110" s="1" t="s">
        <v>743</v>
      </c>
      <c r="BZ110" s="1" t="s">
        <v>269</v>
      </c>
      <c r="CA110" s="1" t="s">
        <v>483</v>
      </c>
      <c r="CB110" s="1" t="s">
        <v>869</v>
      </c>
      <c r="CC110" s="1" t="s">
        <v>56</v>
      </c>
      <c r="CD110" s="1" t="s">
        <v>9</v>
      </c>
      <c r="CE110" s="1" t="str">
        <f>"+Size"</f>
        <v>+Size</v>
      </c>
      <c r="CF110" s="1" t="str">
        <f>"+Cost"</f>
        <v>+Cost</v>
      </c>
      <c r="CG110" s="1" t="s">
        <v>980</v>
      </c>
      <c r="CI110" s="1" t="str">
        <f>"+Size"</f>
        <v>+Size</v>
      </c>
      <c r="CJ110" s="1" t="str">
        <f>"+Cost"</f>
        <v>+Cost</v>
      </c>
      <c r="CK110" s="1" t="s">
        <v>980</v>
      </c>
      <c r="CW110" s="1" t="s">
        <v>1053</v>
      </c>
      <c r="CX110" s="1" t="s">
        <v>662</v>
      </c>
      <c r="CY110" s="113" t="s">
        <v>527</v>
      </c>
      <c r="CZ110" s="113" t="s">
        <v>414</v>
      </c>
      <c r="DA110" s="113" t="s">
        <v>413</v>
      </c>
      <c r="DB110" s="94" t="s">
        <v>679</v>
      </c>
      <c r="DD110" s="113" t="s">
        <v>98</v>
      </c>
      <c r="DE110" s="114">
        <v>-2</v>
      </c>
      <c r="DF110" s="114">
        <v>-1</v>
      </c>
      <c r="DG110" s="114">
        <v>0</v>
      </c>
      <c r="DH110" s="114">
        <v>1</v>
      </c>
      <c r="DI110" s="114">
        <v>2</v>
      </c>
      <c r="DJ110" s="114">
        <v>3</v>
      </c>
      <c r="DL110"/>
      <c r="DQ110" s="44"/>
      <c r="DW110" s="194">
        <f xml:space="preserve"> SUM( DX$4:DX110, -DX110 )</f>
        <v>0</v>
      </c>
      <c r="DX110" s="194">
        <v>0</v>
      </c>
      <c r="DY110" s="194">
        <f xml:space="preserve"> SUM( DZ$4:DZ110, -DZ110 )</f>
        <v>13</v>
      </c>
      <c r="DZ110" s="194">
        <v>0</v>
      </c>
      <c r="EA110" s="194">
        <f xml:space="preserve"> SUM( EB$4:EB110, -EB110 )</f>
        <v>12</v>
      </c>
      <c r="EB110" s="194">
        <v>0</v>
      </c>
      <c r="EC110" s="194">
        <f xml:space="preserve"> SUM( ED$4:ED110, -ED110 )</f>
        <v>0</v>
      </c>
      <c r="ED110" s="194">
        <v>0</v>
      </c>
      <c r="EE110" s="194">
        <f xml:space="preserve"> SUM( EF$4:EF110, -EF110 )</f>
        <v>2.6</v>
      </c>
      <c r="EF110" s="194">
        <v>0</v>
      </c>
      <c r="EG110" s="194">
        <f xml:space="preserve"> SUM( EH$4:EH110, -EH110 )</f>
        <v>0</v>
      </c>
      <c r="EH110" s="194">
        <v>0</v>
      </c>
      <c r="EI110" s="194">
        <f xml:space="preserve"> SUM( EJ$4:EJ110, -EJ110 )</f>
        <v>32.4</v>
      </c>
      <c r="EJ110" s="194">
        <v>0</v>
      </c>
      <c r="EK110" s="194">
        <f xml:space="preserve"> SUM( EL$4:EL110, -EL110 )</f>
        <v>0</v>
      </c>
      <c r="EL110" s="194">
        <v>0</v>
      </c>
      <c r="EM110" s="194">
        <f xml:space="preserve"> SUM( EN$4:EN110, -EN110 )</f>
        <v>0</v>
      </c>
      <c r="EN110" s="194">
        <v>0</v>
      </c>
      <c r="EO110" s="194">
        <f xml:space="preserve"> SUM( EP$4:EP110, -EP110 )</f>
        <v>0</v>
      </c>
      <c r="EP110" s="194">
        <v>0</v>
      </c>
      <c r="EQ110" s="194">
        <f xml:space="preserve"> SUM( ER$4:ER110, -ER110 )</f>
        <v>24</v>
      </c>
      <c r="ER110" s="194">
        <v>0</v>
      </c>
      <c r="ES110" s="194">
        <f xml:space="preserve"> SUM( ET$4:ET110, -ET110 )</f>
        <v>0</v>
      </c>
      <c r="ET110" s="194">
        <v>0</v>
      </c>
      <c r="EU110" s="194">
        <f xml:space="preserve"> SUM( EV$4:EV110, -EV110 )</f>
        <v>10</v>
      </c>
      <c r="EV110" s="194">
        <v>0</v>
      </c>
      <c r="EW110" s="194">
        <f xml:space="preserve"> SUM( EX$4:EX110, -EX110 )</f>
        <v>6</v>
      </c>
      <c r="EX110" s="194">
        <v>0</v>
      </c>
      <c r="EZ110" t="str">
        <f t="shared" si="312"/>
        <v>Screens</v>
      </c>
      <c r="FB110" s="237">
        <f xml:space="preserve"> SUM( FC$4:FC110, -FC110 )</f>
        <v>4</v>
      </c>
      <c r="FC110" s="237">
        <v>0</v>
      </c>
      <c r="FD110" s="237">
        <f xml:space="preserve"> SUM( FE$4:FE110, -FE110 )</f>
        <v>1</v>
      </c>
      <c r="FE110" s="237">
        <v>0</v>
      </c>
      <c r="FF110" t="str">
        <f t="shared" si="288"/>
        <v>Screens</v>
      </c>
    </row>
    <row r="111" spans="1:162">
      <c r="A111" s="71" t="s">
        <v>817</v>
      </c>
      <c r="B111" s="8" t="str">
        <f>AV111</f>
        <v>Std</v>
      </c>
      <c r="C111" s="63" t="s">
        <v>990</v>
      </c>
      <c r="D111" s="63" t="str">
        <f xml:space="preserve"> $DB111</f>
        <v>Rng-2, TL-2</v>
      </c>
      <c r="E111" s="83">
        <v>0</v>
      </c>
      <c r="F111" s="84">
        <v>0</v>
      </c>
      <c r="G111" s="105">
        <f xml:space="preserve"> 1 * (Military&gt;1)</f>
        <v>0</v>
      </c>
      <c r="H111" s="221">
        <f xml:space="preserve"> ($G111&gt;0) * ( 0.5*($CD111&gt;0) + 1.5*($CD111&gt;=2) + 4*(Military&gt;1) )</f>
        <v>0</v>
      </c>
      <c r="I111" s="72">
        <f>BF111 + BW111 + AW111</f>
        <v>10</v>
      </c>
      <c r="J111" s="73">
        <f xml:space="preserve"> IF( I111&gt;$S111, -1*(G111&gt;0),  G111  )</f>
        <v>0</v>
      </c>
      <c r="K111" s="80">
        <f xml:space="preserve"> ROUND( J111 * ( (BQ111+CE111+CI111) * CB111 ), 2 )</f>
        <v>0</v>
      </c>
      <c r="L111" s="80">
        <f xml:space="preserve"> ROUND( J111 * ( BI111 * AY111 + (BR111+CF111+CJ111) * CC111 ) * ( 1 + 0.1*($S111=TL+1) ), 2 )</f>
        <v>0</v>
      </c>
      <c r="M111" s="48">
        <f>J111*BT111*(K111/MAX(1,J111)&gt;=1)</f>
        <v>0</v>
      </c>
      <c r="N111" s="48">
        <f>J111*BT111*(K111/MAX(1,J111)&lt;1)</f>
        <v>0</v>
      </c>
      <c r="O111" s="204" t="str">
        <f xml:space="preserve"> IF( J111&gt;0,  IF( BK111&lt;0, "invalid", IF( BH111&lt;10, CONCATENATE("R=",AQ111), CONCATENATE("S=",AQ111-5) ) ), "" )</f>
        <v/>
      </c>
      <c r="P111" s="196" t="str">
        <f xml:space="preserve"> IF(  K111&gt;0,  CONCATENATE( IF(AS111&lt;&gt;0,CONCATENATE(AV111," "),""), BA111, " ", BP111, " ", IF(CE111&gt;0,"Ext ",""), IF(CI111&gt;0,"De ",""), LEFT(A111,5), "-", TL, " ", IF(AR111&gt;0,"+",IF(AR111=0,"±","")), AR111 ), ""  )</f>
        <v/>
      </c>
      <c r="S111" s="223">
        <f t="shared" ref="S111:S113" si="504" xml:space="preserve"> TL</f>
        <v>12</v>
      </c>
      <c r="T111" t="str">
        <f xml:space="preserve"> IF( L111&gt;0, CONCATENATE( DQ111, DR111, DS111, DT111, DU111 ), "" )</f>
        <v/>
      </c>
      <c r="Z111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1" s="160" t="str">
        <f t="shared" ref="AA111:AA113" si="505" xml:space="preserve"> IF( OR(J111&lt;&gt;0,K111&lt;&gt;0,L111&lt;&gt;0), CONCATENATE( newline &amp; AB111 &amp; AC111 &amp; AD111 &amp; AE111 &amp; AF111 &amp; AG111 &amp; AH111 &amp; AI111 &amp; AJ111 &amp; AK111 ), "" )</f>
        <v/>
      </c>
      <c r="AB111" s="161" t="str">
        <f t="shared" ref="AB111:AB113" si="506" xml:space="preserve"> CONCATENATE( LEFT(P111,30) )</f>
        <v/>
      </c>
      <c r="AC111" s="160" t="str">
        <f t="shared" si="282"/>
        <v xml:space="preserve">                               </v>
      </c>
      <c r="AD111" s="160" t="str">
        <f t="shared" si="289"/>
        <v xml:space="preserve">           </v>
      </c>
      <c r="AE111" s="162" t="str">
        <f t="shared" si="232"/>
        <v>0</v>
      </c>
      <c r="AF111" s="160" t="str">
        <f t="shared" si="290"/>
        <v xml:space="preserve">           </v>
      </c>
      <c r="AG111" s="161" t="str">
        <f t="shared" si="233"/>
        <v>0</v>
      </c>
      <c r="AH111" s="160" t="str">
        <f t="shared" si="327"/>
        <v xml:space="preserve">           </v>
      </c>
      <c r="AI111" s="163" t="str">
        <f t="shared" si="234"/>
        <v>0</v>
      </c>
      <c r="AJ111" s="160" t="str">
        <f t="shared" si="283"/>
        <v xml:space="preserve">      </v>
      </c>
      <c r="AK111" s="163" t="str">
        <f t="shared" si="287"/>
        <v/>
      </c>
      <c r="AL111" s="163"/>
      <c r="AM111" s="153">
        <f xml:space="preserve"> 1*(J111&gt;0)</f>
        <v>0</v>
      </c>
      <c r="AN111" s="153"/>
      <c r="AO111" s="153">
        <f t="shared" ref="AO111:AO113" si="507" xml:space="preserve"> J111 * MAX( 1, ROUNDUP(IFERROR(K111/J111,0)/35,0) ) * (L111&gt;0)</f>
        <v>0</v>
      </c>
      <c r="AP111" s="153"/>
      <c r="AQ111">
        <f xml:space="preserve"> BH111 + BY111</f>
        <v>5</v>
      </c>
      <c r="AR111" s="68">
        <f xml:space="preserve"> BB111*0 + BS111 + CG111*0 + CK111*0</f>
        <v>3</v>
      </c>
      <c r="AS111" s="69">
        <f>MIN( H111, $S111 - BF111 - BW111  )</f>
        <v>0</v>
      </c>
      <c r="AT111" t="s">
        <v>378</v>
      </c>
      <c r="AU111" s="8" t="str">
        <f>VLOOKUP( $AS111, Tables!$A$184:$H$193,  2 )</f>
        <v>Standard</v>
      </c>
      <c r="AV111" s="8" t="str">
        <f>VLOOKUP( $AS111, Tables!$A$184:$H$193,  3 )</f>
        <v>Std</v>
      </c>
      <c r="AW111" s="52">
        <f>VLOOKUP( $AS111, Tables!$A$184:$H$193, 4 )</f>
        <v>0</v>
      </c>
      <c r="AX111" s="8">
        <f>VLOOKUP( $AS111, Tables!$A$184:$H$193,  5 )</f>
        <v>1</v>
      </c>
      <c r="AY111" s="8">
        <f>VLOOKUP( $AS111, Tables!$A$184:$H$193, 6 )</f>
        <v>1</v>
      </c>
      <c r="AZ111" s="8"/>
      <c r="BA111" s="8" t="str">
        <f xml:space="preserve"> VLOOKUP( $AQ111, Tables!$C$366:$H$384, IF($BH111&gt;10,3,6) )</f>
        <v>VL</v>
      </c>
      <c r="BB111" s="60">
        <f>VLOOKUP( $AS111, Tables!$A$184:$Q$193, 9 )</f>
        <v>0</v>
      </c>
      <c r="BD111" t="s">
        <v>83</v>
      </c>
      <c r="BE111" t="str">
        <f xml:space="preserve"> VLOOKUP( $A111, Tables!$A$478:$F$487, 2, 0 )</f>
        <v>N</v>
      </c>
      <c r="BF111">
        <f xml:space="preserve"> VLOOKUP( $A111, Tables!$A$478:$F$487, 3, 0 )</f>
        <v>12</v>
      </c>
      <c r="BG111">
        <f xml:space="preserve"> VLOOKUP( $A111, Tables!$A$478:$F$487, 4, 0 )</f>
        <v>3</v>
      </c>
      <c r="BH111">
        <f xml:space="preserve"> VLOOKUP( $A111, Tables!$A$478:$F$487, 5, 0 )</f>
        <v>7</v>
      </c>
      <c r="BI111">
        <f xml:space="preserve"> VLOOKUP( $A111, Tables!$A$478:$F$487, 6, 0 )</f>
        <v>1</v>
      </c>
      <c r="BK111">
        <f xml:space="preserve"> BO111 - BG111</f>
        <v>0</v>
      </c>
      <c r="BL111" t="str">
        <f>VLOOKUP( $BG111, Tables!$A$435:$H$447, 2 )</f>
        <v>Surface/Bolt-in</v>
      </c>
      <c r="BN111" t="s">
        <v>109</v>
      </c>
      <c r="BO111">
        <f>VLOOKUP( $C111, Tables!$B$435:$H$447, 2, 0 )</f>
        <v>3</v>
      </c>
      <c r="BP111" t="str">
        <f xml:space="preserve"> IF(  $C111=Tables!$B$438,  $BN$110,  VLOOKUP( $C111, Tables!$B$435:$H$447, 3, 0 )  )</f>
        <v>Bo</v>
      </c>
      <c r="BQ111">
        <f xml:space="preserve"> IF(   $BP111=$BN$110,   3,   VLOOKUP( $C111, Tables!$B$435:$H$447, 4, 0 )   )</f>
        <v>3</v>
      </c>
      <c r="BR111">
        <f xml:space="preserve"> IF(   $BP111=$BN$110,   3,   VLOOKUP( $C111, Tables!$B$435:$H$447, 5, 0 )   )</f>
        <v>3</v>
      </c>
      <c r="BS111">
        <f xml:space="preserve"> VLOOKUP( $C111, Tables!$B$435:$J$447, 9, 0 )</f>
        <v>3</v>
      </c>
      <c r="BT111">
        <f>VLOOKUP( $C111, Tables!$B$435:$H$447, 7, 0 )</f>
        <v>0</v>
      </c>
      <c r="BV111" t="s">
        <v>618</v>
      </c>
      <c r="BW111">
        <f>VLOOKUP( $D111, Tables!$B$398:$L$403, 2, 0 )</f>
        <v>-2</v>
      </c>
      <c r="BX111">
        <f>VLOOKUP( $D111, Tables!$B$398:$L$403, 3, 0 )</f>
        <v>5</v>
      </c>
      <c r="BY111">
        <f>VLOOKUP( $D111, Tables!$B$398:$L$403, 4, 0 )</f>
        <v>-2</v>
      </c>
      <c r="CB111" s="85">
        <f>VLOOKUP( $D111, Tables!$B$398:$L$403, 7, 0 )</f>
        <v>0.3333334</v>
      </c>
      <c r="CC111" s="85">
        <f>VLOOKUP( $D111, Tables!$B$398:$L$403, 8, 0 )</f>
        <v>0.3333334</v>
      </c>
      <c r="CD111">
        <f xml:space="preserve"> $S111 - BF111 - BW111</f>
        <v>2</v>
      </c>
      <c r="CE111">
        <f>($E111&gt;0)*2 * (BO111&gt;3) * (BO111&lt;10)</f>
        <v>0</v>
      </c>
      <c r="CF111">
        <f>($E111&gt;0)*1 * (BO111&gt;3) * (BO111&lt;10)</f>
        <v>0</v>
      </c>
      <c r="CG111">
        <f>($E111&gt;0)*3 * (BO111&gt;3) * (BO111&lt;10)</f>
        <v>0</v>
      </c>
      <c r="CI111">
        <f>($F111&gt;0)*2 * (BO111&gt;3) * (BO111&lt;10)</f>
        <v>0</v>
      </c>
      <c r="CJ111">
        <f>($F111&gt;0)*3 * (BO111&gt;3) * (BO111&lt;10)</f>
        <v>0</v>
      </c>
      <c r="CK111">
        <f>($F111&gt;0)*0 * (BO111&gt;3) * (BO111&lt;10)</f>
        <v>0</v>
      </c>
      <c r="CW111" s="77">
        <v>0</v>
      </c>
      <c r="CX111" s="77">
        <f xml:space="preserve"> J111</f>
        <v>0</v>
      </c>
      <c r="CY111">
        <f xml:space="preserve"> $S111-$BF111+1</f>
        <v>1</v>
      </c>
      <c r="CZ111">
        <f t="shared" ref="CZ111:CZ113" si="508" xml:space="preserve"> DE$98 - 1*($DD111&gt;10)</f>
        <v>-2</v>
      </c>
      <c r="DA111">
        <v>3</v>
      </c>
      <c r="DB111" t="str">
        <f xml:space="preserve"> VLOOKUP( MIN( MAX( CZ111, -3), DA111 ), RangeEffectTable, 2 )</f>
        <v>Rng-2, TL-2</v>
      </c>
      <c r="DD111">
        <f xml:space="preserve"> BH111</f>
        <v>7</v>
      </c>
      <c r="DE111" t="str">
        <f>Tables!$B$398</f>
        <v>Rng-2, TL-2</v>
      </c>
      <c r="DF111" t="str">
        <f>Tables!$B$399</f>
        <v>Rng-1, TL-1</v>
      </c>
      <c r="DG111" t="str">
        <f>Tables!$B$400</f>
        <v>Rng±0, TL±0</v>
      </c>
      <c r="DH111" t="str">
        <f>Tables!$B$401</f>
        <v>Rng+1, TL+1</v>
      </c>
      <c r="DI111" t="str">
        <f>Tables!$B$402</f>
        <v>Rng+2, TL+2</v>
      </c>
      <c r="DJ111" t="str">
        <f>Tables!$B$403</f>
        <v>Rng+3, TL+3</v>
      </c>
      <c r="DL111">
        <f ca="1" xml:space="preserve"> IF( $AV111=Tables!$C$189, 5, RANDBETWEEN(1,6)+RANDBETWEEN(1,6)-2 )</f>
        <v>4</v>
      </c>
      <c r="DM111">
        <f ca="1" xml:space="preserve"> IF( $AV111=Tables!$C$189, 0, RANDBETWEEN(1,6)-RANDBETWEEN(1,6)+ VLOOKUP( $AS111, Tables!$A$184:$Q$193,  14 ) )</f>
        <v>1</v>
      </c>
      <c r="DN111">
        <f ca="1" xml:space="preserve"> IF( $AV111=Tables!$C$189, 0, RANDBETWEEN(1,6)-RANDBETWEEN(1,6)+ VLOOKUP( $AS111, Tables!$A$184:$Q$193,  15 ) )</f>
        <v>1</v>
      </c>
      <c r="DO111">
        <f ca="1" xml:space="preserve"> IF( $AV111=Tables!$C$189, 0, RANDBETWEEN(1,6)-RANDBETWEEN(1,6)+ VLOOKUP( $AS111, Tables!$A$184:$Q$193,  16 ) )</f>
        <v>3</v>
      </c>
      <c r="DP111">
        <f ca="1" xml:space="preserve"> IF( $AV111=Tables!$C$189, 0, RANDBETWEEN(1,6)-RANDBETWEEN(1,6)+ VLOOKUP( $AS111, Tables!$A$184:$Q$193,  17 ) )</f>
        <v>0</v>
      </c>
      <c r="DQ111" s="44" t="str">
        <f ca="1" xml:space="preserve"> VLOOKUP( $DL111,Tables!$B$2:$C$36,2)</f>
        <v>4</v>
      </c>
      <c r="DR111" t="str">
        <f t="shared" ref="DR111:DR113" ca="1" si="509" xml:space="preserve"> IF( DM111&lt;0, CONCATENATE( DM111 ), CONCATENATE( " ", DM111 ) )</f>
        <v xml:space="preserve"> 1</v>
      </c>
      <c r="DS111" t="str">
        <f t="shared" ref="DS111:DS113" ca="1" si="510" xml:space="preserve"> IF( DN111&lt;0, CONCATENATE( DN111 ), CONCATENATE( " ", DN111 ) )</f>
        <v xml:space="preserve"> 1</v>
      </c>
      <c r="DT111" t="str">
        <f t="shared" ref="DT111:DT113" ca="1" si="511" xml:space="preserve"> IF( DO111&lt;0, CONCATENATE( DO111 ), CONCATENATE( " ", DO111 ) )</f>
        <v xml:space="preserve"> 3</v>
      </c>
      <c r="DU111" t="str">
        <f t="shared" ref="DU111:DU113" ca="1" si="512" xml:space="preserve"> IF( DP111&lt;0, CONCATENATE( DP111 ), CONCATENATE( " ", DP111 ) )</f>
        <v xml:space="preserve"> 0</v>
      </c>
      <c r="DW111" s="194">
        <f xml:space="preserve"> SUM( DX$4:DX111, -DX111 )</f>
        <v>0</v>
      </c>
      <c r="DX111" s="194">
        <v>0</v>
      </c>
      <c r="DY111" s="194">
        <f xml:space="preserve"> SUM( DZ$4:DZ111, -DZ111 )</f>
        <v>13</v>
      </c>
      <c r="DZ111" s="194">
        <v>0</v>
      </c>
      <c r="EA111" s="194">
        <f xml:space="preserve"> SUM( EB$4:EB111, -EB111 )</f>
        <v>12</v>
      </c>
      <c r="EB111" s="194">
        <v>0</v>
      </c>
      <c r="EC111" s="194">
        <f xml:space="preserve"> SUM( ED$4:ED111, -ED111 )</f>
        <v>0</v>
      </c>
      <c r="ED111" s="194">
        <v>0</v>
      </c>
      <c r="EE111" s="194">
        <f xml:space="preserve"> SUM( EF$4:EF111, -EF111 )</f>
        <v>2.6</v>
      </c>
      <c r="EF111" s="194">
        <v>0</v>
      </c>
      <c r="EG111" s="194">
        <f xml:space="preserve"> SUM( EH$4:EH111, -EH111 )</f>
        <v>0</v>
      </c>
      <c r="EH111" s="194">
        <v>0</v>
      </c>
      <c r="EI111" s="194">
        <f xml:space="preserve"> SUM( EJ$4:EJ111, -EJ111 )</f>
        <v>32.4</v>
      </c>
      <c r="EJ111" s="194">
        <v>0</v>
      </c>
      <c r="EK111" s="194">
        <f xml:space="preserve"> SUM( EL$4:EL111, -EL111 )</f>
        <v>0</v>
      </c>
      <c r="EL111" s="194">
        <v>0</v>
      </c>
      <c r="EM111" s="194">
        <f xml:space="preserve"> SUM( EN$4:EN111, -EN111 )</f>
        <v>0</v>
      </c>
      <c r="EN111" s="194">
        <v>0</v>
      </c>
      <c r="EO111" s="194">
        <f xml:space="preserve"> SUM( EP$4:EP111, -EP111 )</f>
        <v>0</v>
      </c>
      <c r="EP111" s="194">
        <v>0</v>
      </c>
      <c r="EQ111" s="194">
        <f xml:space="preserve"> SUM( ER$4:ER111, -ER111 )</f>
        <v>24</v>
      </c>
      <c r="ER111" s="194">
        <v>0</v>
      </c>
      <c r="ES111" s="194">
        <f xml:space="preserve"> SUM( ET$4:ET111, -ET111 )</f>
        <v>0</v>
      </c>
      <c r="ET111" s="194">
        <v>0</v>
      </c>
      <c r="EU111" s="194">
        <f xml:space="preserve"> SUM( EV$4:EV111, -EV111 )</f>
        <v>10</v>
      </c>
      <c r="EV111" s="194">
        <v>0</v>
      </c>
      <c r="EW111" s="194">
        <f xml:space="preserve"> SUM( EX$4:EX111, -EX111 )</f>
        <v>6</v>
      </c>
      <c r="EX111" s="194">
        <v>0</v>
      </c>
      <c r="EZ111" t="str">
        <f t="shared" si="312"/>
        <v>Nuclear Damper</v>
      </c>
      <c r="FB111" s="237">
        <f xml:space="preserve"> SUM( FC$4:FC111, -FC111 )</f>
        <v>4</v>
      </c>
      <c r="FC111" s="237">
        <v>0</v>
      </c>
      <c r="FD111" s="237">
        <f xml:space="preserve"> SUM( FE$4:FE111, -FE111 )</f>
        <v>1</v>
      </c>
      <c r="FE111" s="237">
        <f t="shared" ref="FE111:FE113" si="513">CX111</f>
        <v>0</v>
      </c>
      <c r="FF111" t="str">
        <f xml:space="preserve"> CONCATENATE( EZ111 &amp; " " &amp; IF(BP111="Bo","",BP111) )</f>
        <v xml:space="preserve">Nuclear Damper </v>
      </c>
    </row>
    <row r="112" spans="1:162">
      <c r="A112" s="71" t="s">
        <v>362</v>
      </c>
      <c r="B112" s="8" t="str">
        <f t="shared" ref="B112:B113" si="514">AV112</f>
        <v>Std</v>
      </c>
      <c r="C112" s="63" t="s">
        <v>990</v>
      </c>
      <c r="D112" s="63" t="str">
        <f t="shared" ref="D112:D113" si="515" xml:space="preserve"> $DB112</f>
        <v>Rng-2, TL-2</v>
      </c>
      <c r="E112" s="83">
        <v>0</v>
      </c>
      <c r="F112" s="84">
        <v>0</v>
      </c>
      <c r="G112" s="105">
        <f xml:space="preserve"> 1 * (Military&gt;1)</f>
        <v>0</v>
      </c>
      <c r="H112" s="221">
        <f xml:space="preserve"> ($G112&gt;0) * ( 0.5*($CD112&gt;0) + 1.5*($CD112&gt;=2) + 4*(Military&gt;1) )</f>
        <v>0</v>
      </c>
      <c r="I112" s="72">
        <f t="shared" ref="I112:I113" si="516">BF112 + BW112 + AW112</f>
        <v>11</v>
      </c>
      <c r="J112" s="86">
        <f t="shared" ref="J112:J113" si="517" xml:space="preserve"> IF( I112&gt;$S112, -1*(G112&gt;0),  G112  )</f>
        <v>0</v>
      </c>
      <c r="K112" s="194">
        <f t="shared" ref="K112:K113" si="518" xml:space="preserve"> ROUND( J112 * ( (BQ112+CE112+CI112) * CB112 ), 2 )</f>
        <v>0</v>
      </c>
      <c r="L112" s="194">
        <f t="shared" ref="L112:L113" si="519" xml:space="preserve"> ROUND( J112 * ( BI112 * AY112 + (BR112+CF112+CJ112) * CC112 ) * ( 1 + 0.1*($S112=TL+1) ), 2 )</f>
        <v>0</v>
      </c>
      <c r="M112" s="48">
        <f>J112*BT112*(K112/MAX(1,J112)&gt;=1)</f>
        <v>0</v>
      </c>
      <c r="N112" s="48">
        <f>J112*BT112*(K112/MAX(1,J112)&lt;1)</f>
        <v>0</v>
      </c>
      <c r="O112" s="204" t="str">
        <f xml:space="preserve"> IF( J112&gt;0,  IF( BK112&lt;0, "invalid", IF( BH112&lt;10, CONCATENATE("R=",AQ112), CONCATENATE("S=",AQ112-5) ) ), "" )</f>
        <v/>
      </c>
      <c r="P112" s="196" t="str">
        <f xml:space="preserve"> IF(  K112&gt;0,  CONCATENATE( IF(AS112&lt;&gt;0,CONCATENATE(AV112," "),""), BA112, " ", BP112, " ", IF(CE112&gt;0,"Ext ",""), IF(CI112&gt;0,"De ",""), LEFT(A112,5), "-", TL, " ", IF(AR112&gt;0,"+",IF(AR112=0,"±","")), AR112 ), ""  )</f>
        <v/>
      </c>
      <c r="S112" s="223">
        <f t="shared" si="504"/>
        <v>12</v>
      </c>
      <c r="T112" t="str">
        <f xml:space="preserve"> IF( L112&gt;0, CONCATENATE( DQ112, DR112, DS112, DT112, DU112 ), "" )</f>
        <v/>
      </c>
      <c r="Z112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2" s="160" t="str">
        <f t="shared" si="505"/>
        <v/>
      </c>
      <c r="AB112" s="161" t="str">
        <f t="shared" si="506"/>
        <v/>
      </c>
      <c r="AC112" s="160" t="str">
        <f t="shared" si="282"/>
        <v xml:space="preserve">                               </v>
      </c>
      <c r="AD112" s="160" t="str">
        <f t="shared" si="289"/>
        <v xml:space="preserve">           </v>
      </c>
      <c r="AE112" s="162" t="str">
        <f t="shared" si="232"/>
        <v>0</v>
      </c>
      <c r="AF112" s="160" t="str">
        <f t="shared" si="290"/>
        <v xml:space="preserve">           </v>
      </c>
      <c r="AG112" s="161" t="str">
        <f t="shared" si="233"/>
        <v>0</v>
      </c>
      <c r="AH112" s="160" t="str">
        <f t="shared" si="327"/>
        <v xml:space="preserve">           </v>
      </c>
      <c r="AI112" s="163" t="str">
        <f t="shared" si="234"/>
        <v>0</v>
      </c>
      <c r="AJ112" s="160" t="str">
        <f t="shared" si="283"/>
        <v xml:space="preserve">      </v>
      </c>
      <c r="AK112" s="163" t="str">
        <f t="shared" si="287"/>
        <v/>
      </c>
      <c r="AL112" s="163"/>
      <c r="AM112" s="153">
        <f t="shared" ref="AM112:AM113" si="520" xml:space="preserve"> 1*(J112&gt;0)</f>
        <v>0</v>
      </c>
      <c r="AN112" s="153"/>
      <c r="AO112" s="153">
        <f t="shared" si="507"/>
        <v>0</v>
      </c>
      <c r="AP112" s="153"/>
      <c r="AQ112">
        <f t="shared" ref="AQ112:AQ113" si="521" xml:space="preserve"> BH112 + BY112</f>
        <v>5</v>
      </c>
      <c r="AR112" s="68">
        <f t="shared" ref="AR112:AR113" si="522" xml:space="preserve"> BB112*0 + BS112 + CG112*0 + CK112*0</f>
        <v>3</v>
      </c>
      <c r="AS112" s="69">
        <f>MIN( H112, $S112 - BF112 - BW112  )</f>
        <v>0</v>
      </c>
      <c r="AT112" t="s">
        <v>378</v>
      </c>
      <c r="AU112" s="8" t="str">
        <f>VLOOKUP( $AS112, Tables!$A$184:$H$193,  2 )</f>
        <v>Standard</v>
      </c>
      <c r="AV112" s="8" t="str">
        <f>VLOOKUP( $AS112, Tables!$A$184:$H$193,  3 )</f>
        <v>Std</v>
      </c>
      <c r="AW112" s="52">
        <f>VLOOKUP( $AS112, Tables!$A$184:$H$193, 4 )</f>
        <v>0</v>
      </c>
      <c r="AX112" s="8">
        <f>VLOOKUP( $AS112, Tables!$A$184:$H$193,  5 )</f>
        <v>1</v>
      </c>
      <c r="AY112" s="8">
        <f>VLOOKUP( $AS112, Tables!$A$184:$H$193, 6 )</f>
        <v>1</v>
      </c>
      <c r="AZ112" s="8"/>
      <c r="BA112" s="8" t="str">
        <f xml:space="preserve"> VLOOKUP( $AQ112, Tables!$C$366:$H$384, IF($BH112&gt;10,3,6) )</f>
        <v>VL</v>
      </c>
      <c r="BB112" s="60">
        <f>VLOOKUP( $AS112, Tables!$A$184:$Q$193, 9 )</f>
        <v>0</v>
      </c>
      <c r="BD112" t="s">
        <v>83</v>
      </c>
      <c r="BE112" t="str">
        <f xml:space="preserve"> VLOOKUP( $A112, Tables!$A$478:$F$487, 2, 0 )</f>
        <v>G</v>
      </c>
      <c r="BF112">
        <f xml:space="preserve"> VLOOKUP( $A112, Tables!$A$478:$F$487, 3, 0 )</f>
        <v>13</v>
      </c>
      <c r="BG112">
        <f xml:space="preserve"> VLOOKUP( $A112, Tables!$A$478:$F$487, 4, 0 )</f>
        <v>3</v>
      </c>
      <c r="BH112">
        <f xml:space="preserve"> VLOOKUP( $A112, Tables!$A$478:$F$487, 5, 0 )</f>
        <v>7</v>
      </c>
      <c r="BI112">
        <f xml:space="preserve"> VLOOKUP( $A112, Tables!$A$478:$F$487, 6, 0 )</f>
        <v>3</v>
      </c>
      <c r="BK112">
        <f t="shared" ref="BK112:BK113" si="523" xml:space="preserve"> BO112 - BG112</f>
        <v>0</v>
      </c>
      <c r="BL112" t="str">
        <f>VLOOKUP( $BG112, Tables!$A$435:$H$447, 2 )</f>
        <v>Surface/Bolt-in</v>
      </c>
      <c r="BN112" t="s">
        <v>109</v>
      </c>
      <c r="BO112">
        <f>VLOOKUP( $C112, Tables!$B$435:$H$447, 2, 0 )</f>
        <v>3</v>
      </c>
      <c r="BP112" t="str">
        <f xml:space="preserve"> IF(  $C112=Tables!$B$438,  $BN$110,  VLOOKUP( $C112, Tables!$B$435:$H$447, 3, 0 )  )</f>
        <v>Bo</v>
      </c>
      <c r="BQ112">
        <f xml:space="preserve"> IF(   $BP112=$BN$110,   3,   VLOOKUP( $C112, Tables!$B$435:$H$447, 4, 0 )   )</f>
        <v>3</v>
      </c>
      <c r="BR112">
        <f xml:space="preserve"> IF(   $BP112=$BN$110,   3,   VLOOKUP( $C112, Tables!$B$435:$H$447, 5, 0 )   )</f>
        <v>3</v>
      </c>
      <c r="BS112">
        <f xml:space="preserve"> VLOOKUP( $C112, Tables!$B$435:$J$447, 9, 0 )</f>
        <v>3</v>
      </c>
      <c r="BT112">
        <f>VLOOKUP( $C112, Tables!$B$435:$H$447, 7, 0 )</f>
        <v>0</v>
      </c>
      <c r="BV112" t="s">
        <v>618</v>
      </c>
      <c r="BW112">
        <f>VLOOKUP( $D112, Tables!$B$398:$L$403, 2, 0 )</f>
        <v>-2</v>
      </c>
      <c r="BX112">
        <f>VLOOKUP( $D112, Tables!$B$398:$L$403, 3, 0 )</f>
        <v>5</v>
      </c>
      <c r="BY112">
        <f>VLOOKUP( $D112, Tables!$B$398:$L$403, 4, 0 )</f>
        <v>-2</v>
      </c>
      <c r="CB112" s="85">
        <f>VLOOKUP( $D112, Tables!$B$398:$L$403, 7, 0 )</f>
        <v>0.3333334</v>
      </c>
      <c r="CC112" s="85">
        <f>VLOOKUP( $D112, Tables!$B$398:$L$403, 8, 0 )</f>
        <v>0.3333334</v>
      </c>
      <c r="CD112">
        <f t="shared" ref="CD112:CD113" si="524" xml:space="preserve"> $S112 - BF112 - BW112</f>
        <v>1</v>
      </c>
      <c r="CE112">
        <f t="shared" ref="CE112:CE113" si="525">($E112&gt;0)*2 * (BO112&gt;3) * (BO112&lt;10)</f>
        <v>0</v>
      </c>
      <c r="CF112">
        <f t="shared" ref="CF112:CF113" si="526">($E112&gt;0)*1 * (BO112&gt;3) * (BO112&lt;10)</f>
        <v>0</v>
      </c>
      <c r="CG112">
        <f t="shared" ref="CG112:CG113" si="527">($E112&gt;0)*3 * (BO112&gt;3) * (BO112&lt;10)</f>
        <v>0</v>
      </c>
      <c r="CI112">
        <f t="shared" ref="CI112:CI113" si="528">($F112&gt;0)*2 * (BO112&gt;3) * (BO112&lt;10)</f>
        <v>0</v>
      </c>
      <c r="CJ112">
        <f t="shared" ref="CJ112:CJ113" si="529">($F112&gt;0)*3 * (BO112&gt;3) * (BO112&lt;10)</f>
        <v>0</v>
      </c>
      <c r="CK112">
        <f t="shared" ref="CK112:CK113" si="530">($F112&gt;0)*0 * (BO112&gt;3) * (BO112&lt;10)</f>
        <v>0</v>
      </c>
      <c r="CW112" s="77">
        <v>0</v>
      </c>
      <c r="CX112" s="77">
        <f t="shared" ref="CX112:CX113" si="531" xml:space="preserve"> J112</f>
        <v>0</v>
      </c>
      <c r="CY112">
        <f xml:space="preserve"> $S112-$BF112+1</f>
        <v>0</v>
      </c>
      <c r="CZ112">
        <f t="shared" si="508"/>
        <v>-2</v>
      </c>
      <c r="DA112">
        <v>3</v>
      </c>
      <c r="DB112" t="str">
        <f t="shared" ref="DB112:DB113" si="532" xml:space="preserve"> VLOOKUP( MIN( MAX( CZ112, -3), DA112 ), RangeEffectTable, 2 )</f>
        <v>Rng-2, TL-2</v>
      </c>
      <c r="DD112">
        <f t="shared" ref="DD112:DD113" si="533" xml:space="preserve"> BH112</f>
        <v>7</v>
      </c>
      <c r="DE112" t="str">
        <f>Tables!$B$398</f>
        <v>Rng-2, TL-2</v>
      </c>
      <c r="DF112" t="str">
        <f>Tables!$B$399</f>
        <v>Rng-1, TL-1</v>
      </c>
      <c r="DG112" t="str">
        <f>Tables!$B$400</f>
        <v>Rng±0, TL±0</v>
      </c>
      <c r="DH112" t="str">
        <f>Tables!$B$401</f>
        <v>Rng+1, TL+1</v>
      </c>
      <c r="DI112" t="str">
        <f>Tables!$B$402</f>
        <v>Rng+2, TL+2</v>
      </c>
      <c r="DJ112" t="str">
        <f>Tables!$B$403</f>
        <v>Rng+3, TL+3</v>
      </c>
      <c r="DL112">
        <f ca="1" xml:space="preserve"> IF( $AV112=Tables!$C$189, 5, RANDBETWEEN(1,6)+RANDBETWEEN(1,6)-2 )</f>
        <v>9</v>
      </c>
      <c r="DM112">
        <f ca="1" xml:space="preserve"> IF( $AV112=Tables!$C$189, 0, RANDBETWEEN(1,6)-RANDBETWEEN(1,6)+ VLOOKUP( $AS112, Tables!$A$184:$Q$193,  14 ) )</f>
        <v>0</v>
      </c>
      <c r="DN112">
        <f ca="1" xml:space="preserve"> IF( $AV112=Tables!$C$189, 0, RANDBETWEEN(1,6)-RANDBETWEEN(1,6)+ VLOOKUP( $AS112, Tables!$A$184:$Q$193,  15 ) )</f>
        <v>-2</v>
      </c>
      <c r="DO112">
        <f ca="1" xml:space="preserve"> IF( $AV112=Tables!$C$189, 0, RANDBETWEEN(1,6)-RANDBETWEEN(1,6)+ VLOOKUP( $AS112, Tables!$A$184:$Q$193,  16 ) )</f>
        <v>1</v>
      </c>
      <c r="DP112">
        <f ca="1" xml:space="preserve"> IF( $AV112=Tables!$C$189, 0, RANDBETWEEN(1,6)-RANDBETWEEN(1,6)+ VLOOKUP( $AS112, Tables!$A$184:$Q$193,  17 ) )</f>
        <v>-5</v>
      </c>
      <c r="DQ112" s="44" t="str">
        <f ca="1" xml:space="preserve"> VLOOKUP( $DL112,Tables!$B$2:$C$36,2)</f>
        <v>9</v>
      </c>
      <c r="DR112" t="str">
        <f t="shared" ca="1" si="509"/>
        <v xml:space="preserve"> 0</v>
      </c>
      <c r="DS112" t="str">
        <f t="shared" ca="1" si="510"/>
        <v>-2</v>
      </c>
      <c r="DT112" t="str">
        <f t="shared" ca="1" si="511"/>
        <v xml:space="preserve"> 1</v>
      </c>
      <c r="DU112" t="str">
        <f t="shared" ca="1" si="512"/>
        <v>-5</v>
      </c>
      <c r="DW112" s="194">
        <f xml:space="preserve"> SUM( DX$4:DX112, -DX112 )</f>
        <v>0</v>
      </c>
      <c r="DX112" s="194">
        <v>0</v>
      </c>
      <c r="DY112" s="194">
        <f xml:space="preserve"> SUM( DZ$4:DZ112, -DZ112 )</f>
        <v>13</v>
      </c>
      <c r="DZ112" s="194">
        <v>0</v>
      </c>
      <c r="EA112" s="194">
        <f xml:space="preserve"> SUM( EB$4:EB112, -EB112 )</f>
        <v>12</v>
      </c>
      <c r="EB112" s="194">
        <v>0</v>
      </c>
      <c r="EC112" s="194">
        <f xml:space="preserve"> SUM( ED$4:ED112, -ED112 )</f>
        <v>0</v>
      </c>
      <c r="ED112" s="194">
        <v>0</v>
      </c>
      <c r="EE112" s="194">
        <f xml:space="preserve"> SUM( EF$4:EF112, -EF112 )</f>
        <v>2.6</v>
      </c>
      <c r="EF112" s="194">
        <v>0</v>
      </c>
      <c r="EG112" s="194">
        <f xml:space="preserve"> SUM( EH$4:EH112, -EH112 )</f>
        <v>0</v>
      </c>
      <c r="EH112" s="194">
        <v>0</v>
      </c>
      <c r="EI112" s="194">
        <f xml:space="preserve"> SUM( EJ$4:EJ112, -EJ112 )</f>
        <v>32.4</v>
      </c>
      <c r="EJ112" s="194">
        <v>0</v>
      </c>
      <c r="EK112" s="194">
        <f xml:space="preserve"> SUM( EL$4:EL112, -EL112 )</f>
        <v>0</v>
      </c>
      <c r="EL112" s="194">
        <v>0</v>
      </c>
      <c r="EM112" s="194">
        <f xml:space="preserve"> SUM( EN$4:EN112, -EN112 )</f>
        <v>0</v>
      </c>
      <c r="EN112" s="194">
        <v>0</v>
      </c>
      <c r="EO112" s="194">
        <f xml:space="preserve"> SUM( EP$4:EP112, -EP112 )</f>
        <v>0</v>
      </c>
      <c r="EP112" s="194">
        <v>0</v>
      </c>
      <c r="EQ112" s="194">
        <f xml:space="preserve"> SUM( ER$4:ER112, -ER112 )</f>
        <v>24</v>
      </c>
      <c r="ER112" s="194">
        <v>0</v>
      </c>
      <c r="ES112" s="194">
        <f xml:space="preserve"> SUM( ET$4:ET112, -ET112 )</f>
        <v>0</v>
      </c>
      <c r="ET112" s="194">
        <v>0</v>
      </c>
      <c r="EU112" s="194">
        <f xml:space="preserve"> SUM( EV$4:EV112, -EV112 )</f>
        <v>10</v>
      </c>
      <c r="EV112" s="194">
        <v>0</v>
      </c>
      <c r="EW112" s="194">
        <f xml:space="preserve"> SUM( EX$4:EX112, -EX112 )</f>
        <v>6</v>
      </c>
      <c r="EX112" s="194">
        <v>0</v>
      </c>
      <c r="EZ112" t="str">
        <f t="shared" si="312"/>
        <v>Meson Screen</v>
      </c>
      <c r="FB112" s="237">
        <f xml:space="preserve"> SUM( FC$4:FC112, -FC112 )</f>
        <v>4</v>
      </c>
      <c r="FC112" s="237">
        <v>0</v>
      </c>
      <c r="FD112" s="237">
        <f xml:space="preserve"> SUM( FE$4:FE112, -FE112 )</f>
        <v>1</v>
      </c>
      <c r="FE112" s="237">
        <f t="shared" si="513"/>
        <v>0</v>
      </c>
      <c r="FF112" t="str">
        <f t="shared" ref="FF112:FF113" si="534" xml:space="preserve"> CONCATENATE( EZ112 &amp; " " &amp; IF(BP112="Bo","",BP112) )</f>
        <v xml:space="preserve">Meson Screen </v>
      </c>
    </row>
    <row r="113" spans="1:162">
      <c r="A113" s="71" t="s">
        <v>127</v>
      </c>
      <c r="B113" s="8" t="str">
        <f t="shared" si="514"/>
        <v>Pro</v>
      </c>
      <c r="C113" s="63" t="s">
        <v>990</v>
      </c>
      <c r="D113" s="63" t="str">
        <f t="shared" si="515"/>
        <v>Rng-2, TL-2</v>
      </c>
      <c r="E113" s="83">
        <v>0</v>
      </c>
      <c r="F113" s="84">
        <v>0</v>
      </c>
      <c r="G113" s="20">
        <v>0</v>
      </c>
      <c r="H113" s="221">
        <f xml:space="preserve"> ($G113&gt;0) * ( 0.5*($CD113&gt;0) + 1.5*($CD113&gt;=2) + 4*(Military&gt;1) )</f>
        <v>0</v>
      </c>
      <c r="I113" s="72">
        <f t="shared" si="516"/>
        <v>12</v>
      </c>
      <c r="J113" s="86">
        <f t="shared" si="517"/>
        <v>0</v>
      </c>
      <c r="K113" s="194">
        <f t="shared" si="518"/>
        <v>0</v>
      </c>
      <c r="L113" s="194">
        <f t="shared" si="519"/>
        <v>0</v>
      </c>
      <c r="M113" s="48">
        <f>J113*BT113*(K113/MAX(1,J113)&gt;=1)</f>
        <v>0</v>
      </c>
      <c r="N113" s="48">
        <f>J113*BT113*(K113/MAX(1,J113)&lt;1)</f>
        <v>0</v>
      </c>
      <c r="O113" s="204" t="str">
        <f xml:space="preserve"> IF( J113&gt;0,  IF( BK113&lt;0, "invalid", IF( BH113&lt;10, CONCATENATE("R=",AQ113), CONCATENATE("S=",AQ113-5) ) ), "" )</f>
        <v/>
      </c>
      <c r="P113" s="196" t="str">
        <f xml:space="preserve"> IF(  K113&gt;0,  CONCATENATE( IF(AS113&lt;&gt;0,CONCATENATE(AV113," "),""), BA113, " ", BP113, " ", IF(CE113&gt;0,"Ext ",""), IF(CI113&gt;0,"De ",""), LEFT(A113,5), "-", TL, " ", IF(AR113&gt;0,"+",IF(AR113=0,"±","")), AR113 ), ""  )</f>
        <v/>
      </c>
      <c r="S113" s="223">
        <f t="shared" si="504"/>
        <v>12</v>
      </c>
      <c r="T113" t="str">
        <f xml:space="preserve"> IF( L113&gt;0, CONCATENATE( DQ113, DR113, DS113, DT113, DU113 ), "" )</f>
        <v/>
      </c>
      <c r="Z113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3" s="160" t="str">
        <f t="shared" si="505"/>
        <v/>
      </c>
      <c r="AB113" s="161" t="str">
        <f t="shared" si="506"/>
        <v/>
      </c>
      <c r="AC113" s="160" t="str">
        <f t="shared" si="282"/>
        <v xml:space="preserve">                               </v>
      </c>
      <c r="AD113" s="160" t="str">
        <f t="shared" si="289"/>
        <v xml:space="preserve">           </v>
      </c>
      <c r="AE113" s="162" t="str">
        <f t="shared" si="232"/>
        <v>0</v>
      </c>
      <c r="AF113" s="160" t="str">
        <f t="shared" si="290"/>
        <v xml:space="preserve">           </v>
      </c>
      <c r="AG113" s="161" t="str">
        <f t="shared" si="233"/>
        <v>0</v>
      </c>
      <c r="AH113" s="160" t="str">
        <f t="shared" si="327"/>
        <v xml:space="preserve">           </v>
      </c>
      <c r="AI113" s="163" t="str">
        <f t="shared" si="234"/>
        <v>0</v>
      </c>
      <c r="AJ113" s="160" t="str">
        <f t="shared" si="283"/>
        <v xml:space="preserve">      </v>
      </c>
      <c r="AK113" s="163" t="str">
        <f t="shared" si="287"/>
        <v/>
      </c>
      <c r="AL113" s="163"/>
      <c r="AM113" s="153">
        <f t="shared" si="520"/>
        <v>0</v>
      </c>
      <c r="AN113" s="153"/>
      <c r="AO113" s="153">
        <f t="shared" si="507"/>
        <v>0</v>
      </c>
      <c r="AP113" s="153"/>
      <c r="AQ113">
        <f t="shared" si="521"/>
        <v>5</v>
      </c>
      <c r="AR113" s="68">
        <f t="shared" si="522"/>
        <v>3</v>
      </c>
      <c r="AS113" s="69">
        <f>MIN( H113, $S113 - BF113 - BW113  )</f>
        <v>-2</v>
      </c>
      <c r="AT113" t="s">
        <v>378</v>
      </c>
      <c r="AU113" s="8" t="str">
        <f>VLOOKUP( $AS113, Tables!$A$184:$H$193,  2 )</f>
        <v>Prototype</v>
      </c>
      <c r="AV113" s="8" t="str">
        <f>VLOOKUP( $AS113, Tables!$A$184:$H$193,  3 )</f>
        <v>Pro</v>
      </c>
      <c r="AW113" s="52">
        <f>VLOOKUP( $AS113, Tables!$A$184:$H$193, 4 )</f>
        <v>-2</v>
      </c>
      <c r="AX113" s="8">
        <f>VLOOKUP( $AS113, Tables!$A$184:$H$193,  5 )</f>
        <v>2</v>
      </c>
      <c r="AY113" s="8">
        <f>VLOOKUP( $AS113, Tables!$A$184:$H$193, 6 )</f>
        <v>4</v>
      </c>
      <c r="AZ113" s="8"/>
      <c r="BA113" s="8" t="str">
        <f xml:space="preserve"> VLOOKUP( $AQ113, Tables!$C$366:$H$384, IF($BH113&gt;10,3,6) )</f>
        <v>VL</v>
      </c>
      <c r="BB113" s="60">
        <f>VLOOKUP( $AS113, Tables!$A$184:$Q$193, 9 )</f>
        <v>-2</v>
      </c>
      <c r="BD113" t="s">
        <v>83</v>
      </c>
      <c r="BE113" t="str">
        <f xml:space="preserve"> VLOOKUP( $A113, Tables!$A$478:$F$487, 2, 0 )</f>
        <v>T</v>
      </c>
      <c r="BF113">
        <f xml:space="preserve"> VLOOKUP( $A113, Tables!$A$478:$F$487, 3, 0 )</f>
        <v>16</v>
      </c>
      <c r="BG113">
        <f xml:space="preserve"> VLOOKUP( $A113, Tables!$A$478:$F$487, 4, 0 )</f>
        <v>3</v>
      </c>
      <c r="BH113">
        <f xml:space="preserve"> VLOOKUP( $A113, Tables!$A$478:$F$487, 5, 0 )</f>
        <v>7</v>
      </c>
      <c r="BI113">
        <f xml:space="preserve"> VLOOKUP( $A113, Tables!$A$478:$F$487, 6, 0 )</f>
        <v>10</v>
      </c>
      <c r="BK113">
        <f t="shared" si="523"/>
        <v>0</v>
      </c>
      <c r="BL113" t="str">
        <f>VLOOKUP( $BG113, Tables!$A$435:$H$447, 2 )</f>
        <v>Surface/Bolt-in</v>
      </c>
      <c r="BN113" t="s">
        <v>109</v>
      </c>
      <c r="BO113">
        <f>VLOOKUP( $C113, Tables!$B$435:$H$447, 2, 0 )</f>
        <v>3</v>
      </c>
      <c r="BP113" t="str">
        <f xml:space="preserve"> IF(  $C113=Tables!$B$438,  $BN$110,  VLOOKUP( $C113, Tables!$B$435:$H$447, 3, 0 )  )</f>
        <v>Bo</v>
      </c>
      <c r="BQ113">
        <f xml:space="preserve"> IF(   $BP113=$BN$110,   3,   VLOOKUP( $C113, Tables!$B$435:$H$447, 4, 0 )   )</f>
        <v>3</v>
      </c>
      <c r="BR113">
        <f xml:space="preserve"> IF(   $BP113=$BN$110,   3,   VLOOKUP( $C113, Tables!$B$435:$H$447, 5, 0 )   )</f>
        <v>3</v>
      </c>
      <c r="BS113">
        <f xml:space="preserve"> VLOOKUP( $C113, Tables!$B$435:$J$447, 9, 0 )</f>
        <v>3</v>
      </c>
      <c r="BT113">
        <f>VLOOKUP( $C113, Tables!$B$435:$H$447, 7, 0 )</f>
        <v>0</v>
      </c>
      <c r="BV113" t="s">
        <v>618</v>
      </c>
      <c r="BW113">
        <f>VLOOKUP( $D113, Tables!$B$398:$L$403, 2, 0 )</f>
        <v>-2</v>
      </c>
      <c r="BX113">
        <f>VLOOKUP( $D113, Tables!$B$398:$L$403, 3, 0 )</f>
        <v>5</v>
      </c>
      <c r="BY113">
        <f>VLOOKUP( $D113, Tables!$B$398:$L$403, 4, 0 )</f>
        <v>-2</v>
      </c>
      <c r="CB113" s="85">
        <f>VLOOKUP( $D113, Tables!$B$398:$L$403, 7, 0 )</f>
        <v>0.3333334</v>
      </c>
      <c r="CC113" s="85">
        <f>VLOOKUP( $D113, Tables!$B$398:$L$403, 8, 0 )</f>
        <v>0.3333334</v>
      </c>
      <c r="CD113">
        <f t="shared" si="524"/>
        <v>-2</v>
      </c>
      <c r="CE113">
        <f t="shared" si="525"/>
        <v>0</v>
      </c>
      <c r="CF113">
        <f t="shared" si="526"/>
        <v>0</v>
      </c>
      <c r="CG113">
        <f t="shared" si="527"/>
        <v>0</v>
      </c>
      <c r="CI113">
        <f t="shared" si="528"/>
        <v>0</v>
      </c>
      <c r="CJ113">
        <f t="shared" si="529"/>
        <v>0</v>
      </c>
      <c r="CK113">
        <f t="shared" si="530"/>
        <v>0</v>
      </c>
      <c r="CW113" s="77">
        <v>0</v>
      </c>
      <c r="CX113" s="77">
        <f t="shared" si="531"/>
        <v>0</v>
      </c>
      <c r="CY113">
        <f xml:space="preserve"> $S113-$BF113+1</f>
        <v>-3</v>
      </c>
      <c r="CZ113">
        <f t="shared" si="508"/>
        <v>-2</v>
      </c>
      <c r="DA113">
        <v>3</v>
      </c>
      <c r="DB113" t="str">
        <f t="shared" si="532"/>
        <v>Rng-2, TL-2</v>
      </c>
      <c r="DD113">
        <f t="shared" si="533"/>
        <v>7</v>
      </c>
      <c r="DE113" t="str">
        <f>Tables!$B$398</f>
        <v>Rng-2, TL-2</v>
      </c>
      <c r="DF113" t="str">
        <f>Tables!$B$399</f>
        <v>Rng-1, TL-1</v>
      </c>
      <c r="DG113" t="str">
        <f>Tables!$B$400</f>
        <v>Rng±0, TL±0</v>
      </c>
      <c r="DH113" t="str">
        <f>Tables!$B$401</f>
        <v>Rng+1, TL+1</v>
      </c>
      <c r="DI113" t="str">
        <f>Tables!$B$402</f>
        <v>Rng+2, TL+2</v>
      </c>
      <c r="DJ113" t="str">
        <f>Tables!$B$403</f>
        <v>Rng+3, TL+3</v>
      </c>
      <c r="DL113">
        <f ca="1" xml:space="preserve"> IF( $AV113=Tables!$C$189, 5, RANDBETWEEN(1,6)+RANDBETWEEN(1,6)-2 )</f>
        <v>8</v>
      </c>
      <c r="DM113">
        <f ca="1" xml:space="preserve"> IF( $AV113=Tables!$C$189, 0, RANDBETWEEN(1,6)-RANDBETWEEN(1,6)+ VLOOKUP( $AS113, Tables!$A$184:$Q$193,  14 ) )</f>
        <v>-3</v>
      </c>
      <c r="DN113">
        <f ca="1" xml:space="preserve"> IF( $AV113=Tables!$C$189, 0, RANDBETWEEN(1,6)-RANDBETWEEN(1,6)+ VLOOKUP( $AS113, Tables!$A$184:$Q$193,  15 ) )</f>
        <v>-2</v>
      </c>
      <c r="DO113">
        <f ca="1" xml:space="preserve"> IF( $AV113=Tables!$C$189, 0, RANDBETWEEN(1,6)-RANDBETWEEN(1,6)+ VLOOKUP( $AS113, Tables!$A$184:$Q$193,  16 ) )</f>
        <v>3</v>
      </c>
      <c r="DP113">
        <f ca="1" xml:space="preserve"> IF( $AV113=Tables!$C$189, 0, RANDBETWEEN(1,6)-RANDBETWEEN(1,6)+ VLOOKUP( $AS113, Tables!$A$184:$Q$193,  17 ) )</f>
        <v>-2</v>
      </c>
      <c r="DQ113" s="44" t="str">
        <f ca="1" xml:space="preserve"> VLOOKUP( $DL113,Tables!$B$2:$C$36,2)</f>
        <v>8</v>
      </c>
      <c r="DR113" t="str">
        <f t="shared" ca="1" si="509"/>
        <v>-3</v>
      </c>
      <c r="DS113" t="str">
        <f t="shared" ca="1" si="510"/>
        <v>-2</v>
      </c>
      <c r="DT113" t="str">
        <f t="shared" ca="1" si="511"/>
        <v xml:space="preserve"> 3</v>
      </c>
      <c r="DU113" t="str">
        <f t="shared" ca="1" si="512"/>
        <v>-2</v>
      </c>
      <c r="DW113" s="194">
        <f xml:space="preserve"> SUM( DX$4:DX113, -DX113 )</f>
        <v>0</v>
      </c>
      <c r="DX113" s="194">
        <v>0</v>
      </c>
      <c r="DY113" s="194">
        <f xml:space="preserve"> SUM( DZ$4:DZ113, -DZ113 )</f>
        <v>13</v>
      </c>
      <c r="DZ113" s="194">
        <v>0</v>
      </c>
      <c r="EA113" s="194">
        <f xml:space="preserve"> SUM( EB$4:EB113, -EB113 )</f>
        <v>12</v>
      </c>
      <c r="EB113" s="194">
        <v>0</v>
      </c>
      <c r="EC113" s="194">
        <f xml:space="preserve"> SUM( ED$4:ED113, -ED113 )</f>
        <v>0</v>
      </c>
      <c r="ED113" s="194">
        <v>0</v>
      </c>
      <c r="EE113" s="194">
        <f xml:space="preserve"> SUM( EF$4:EF113, -EF113 )</f>
        <v>2.6</v>
      </c>
      <c r="EF113" s="194">
        <v>0</v>
      </c>
      <c r="EG113" s="194">
        <f xml:space="preserve"> SUM( EH$4:EH113, -EH113 )</f>
        <v>0</v>
      </c>
      <c r="EH113" s="194">
        <v>0</v>
      </c>
      <c r="EI113" s="194">
        <f xml:space="preserve"> SUM( EJ$4:EJ113, -EJ113 )</f>
        <v>32.4</v>
      </c>
      <c r="EJ113" s="194">
        <v>0</v>
      </c>
      <c r="EK113" s="194">
        <f xml:space="preserve"> SUM( EL$4:EL113, -EL113 )</f>
        <v>0</v>
      </c>
      <c r="EL113" s="194">
        <v>0</v>
      </c>
      <c r="EM113" s="194">
        <f xml:space="preserve"> SUM( EN$4:EN113, -EN113 )</f>
        <v>0</v>
      </c>
      <c r="EN113" s="194">
        <v>0</v>
      </c>
      <c r="EO113" s="194">
        <f xml:space="preserve"> SUM( EP$4:EP113, -EP113 )</f>
        <v>0</v>
      </c>
      <c r="EP113" s="194">
        <v>0</v>
      </c>
      <c r="EQ113" s="194">
        <f xml:space="preserve"> SUM( ER$4:ER113, -ER113 )</f>
        <v>24</v>
      </c>
      <c r="ER113" s="194">
        <v>0</v>
      </c>
      <c r="ES113" s="194">
        <f xml:space="preserve"> SUM( ET$4:ET113, -ET113 )</f>
        <v>0</v>
      </c>
      <c r="ET113" s="194">
        <v>0</v>
      </c>
      <c r="EU113" s="194">
        <f xml:space="preserve"> SUM( EV$4:EV113, -EV113 )</f>
        <v>10</v>
      </c>
      <c r="EV113" s="194">
        <v>0</v>
      </c>
      <c r="EW113" s="194">
        <f xml:space="preserve"> SUM( EX$4:EX113, -EX113 )</f>
        <v>6</v>
      </c>
      <c r="EX113" s="194">
        <v>0</v>
      </c>
      <c r="EZ113" t="str">
        <f t="shared" si="312"/>
        <v>Black Globe</v>
      </c>
      <c r="FB113" s="237">
        <f xml:space="preserve"> SUM( FC$4:FC113, -FC113 )</f>
        <v>4</v>
      </c>
      <c r="FC113" s="237">
        <v>0</v>
      </c>
      <c r="FD113" s="237">
        <f xml:space="preserve"> SUM( FE$4:FE113, -FE113 )</f>
        <v>1</v>
      </c>
      <c r="FE113" s="237">
        <f t="shared" si="513"/>
        <v>0</v>
      </c>
      <c r="FF113" t="str">
        <f t="shared" si="534"/>
        <v xml:space="preserve">Black Globe </v>
      </c>
    </row>
    <row r="114" spans="1:162">
      <c r="Q114" s="19"/>
      <c r="R114" s="19"/>
      <c r="S114" s="228"/>
      <c r="T114" s="19"/>
      <c r="U114" s="19"/>
      <c r="V114" s="19"/>
      <c r="W114" s="19"/>
      <c r="X114" s="19"/>
      <c r="Y114" s="158"/>
      <c r="Z114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4" s="160" t="str">
        <f xml:space="preserve"> IF( OR(SUM(L110:L114)&gt;0), CONCATENATE( newline &amp; AB114 &amp; AC114 &amp; AD114 &amp; AE114 &amp; AF114 &amp; AG114 &amp; AH114 &amp; AI114 &amp; AJ114 &amp; AK114 ), "" )</f>
        <v/>
      </c>
      <c r="AB114" s="161" t="str">
        <f t="shared" si="231"/>
        <v/>
      </c>
      <c r="AC114" s="160" t="str">
        <f t="shared" si="282"/>
        <v xml:space="preserve">                               </v>
      </c>
      <c r="AD114" s="160" t="str">
        <f t="shared" si="289"/>
        <v xml:space="preserve">            </v>
      </c>
      <c r="AE114" s="162" t="str">
        <f t="shared" si="232"/>
        <v/>
      </c>
      <c r="AF114" s="160" t="str">
        <f t="shared" si="290"/>
        <v xml:space="preserve">            </v>
      </c>
      <c r="AG114" s="161" t="str">
        <f t="shared" si="233"/>
        <v/>
      </c>
      <c r="AH114" s="160" t="str">
        <f t="shared" si="327"/>
        <v xml:space="preserve">            </v>
      </c>
      <c r="AI114" s="163" t="str">
        <f t="shared" si="234"/>
        <v/>
      </c>
      <c r="AJ114" s="160" t="str">
        <f t="shared" si="283"/>
        <v xml:space="preserve">      </v>
      </c>
      <c r="AK114" s="163" t="str">
        <f t="shared" si="287"/>
        <v/>
      </c>
      <c r="AL114" s="163"/>
      <c r="AM114" s="153"/>
      <c r="AN114" s="153"/>
      <c r="AO114" s="153"/>
      <c r="AP114" s="153"/>
      <c r="DL114"/>
      <c r="DQ114" s="44"/>
      <c r="DW114" s="194">
        <f xml:space="preserve"> SUM( DX$4:DX114, -DX114 )</f>
        <v>0</v>
      </c>
      <c r="DX114" s="194">
        <v>0</v>
      </c>
      <c r="DY114" s="194">
        <f xml:space="preserve"> SUM( DZ$4:DZ114, -DZ114 )</f>
        <v>13</v>
      </c>
      <c r="DZ114" s="194">
        <v>0</v>
      </c>
      <c r="EA114" s="194">
        <f xml:space="preserve"> SUM( EB$4:EB114, -EB114 )</f>
        <v>12</v>
      </c>
      <c r="EB114" s="194">
        <v>0</v>
      </c>
      <c r="EC114" s="194">
        <f xml:space="preserve"> SUM( ED$4:ED114, -ED114 )</f>
        <v>0</v>
      </c>
      <c r="ED114" s="194">
        <v>0</v>
      </c>
      <c r="EE114" s="194">
        <f xml:space="preserve"> SUM( EF$4:EF114, -EF114 )</f>
        <v>2.6</v>
      </c>
      <c r="EF114" s="194">
        <v>0</v>
      </c>
      <c r="EG114" s="194">
        <f xml:space="preserve"> SUM( EH$4:EH114, -EH114 )</f>
        <v>0</v>
      </c>
      <c r="EH114" s="194">
        <v>0</v>
      </c>
      <c r="EI114" s="194">
        <f xml:space="preserve"> SUM( EJ$4:EJ114, -EJ114 )</f>
        <v>32.4</v>
      </c>
      <c r="EJ114" s="194">
        <v>0</v>
      </c>
      <c r="EK114" s="194">
        <f xml:space="preserve"> SUM( EL$4:EL114, -EL114 )</f>
        <v>0</v>
      </c>
      <c r="EL114" s="194">
        <v>0</v>
      </c>
      <c r="EM114" s="194">
        <f xml:space="preserve"> SUM( EN$4:EN114, -EN114 )</f>
        <v>0</v>
      </c>
      <c r="EN114" s="194">
        <v>0</v>
      </c>
      <c r="EO114" s="194">
        <f xml:space="preserve"> SUM( EP$4:EP114, -EP114 )</f>
        <v>0</v>
      </c>
      <c r="EP114" s="194">
        <v>0</v>
      </c>
      <c r="EQ114" s="194">
        <f xml:space="preserve"> SUM( ER$4:ER114, -ER114 )</f>
        <v>24</v>
      </c>
      <c r="ER114" s="194">
        <v>0</v>
      </c>
      <c r="ES114" s="194">
        <f xml:space="preserve"> SUM( ET$4:ET114, -ET114 )</f>
        <v>0</v>
      </c>
      <c r="ET114" s="194">
        <v>0</v>
      </c>
      <c r="EU114" s="194">
        <f xml:space="preserve"> SUM( EV$4:EV114, -EV114 )</f>
        <v>10</v>
      </c>
      <c r="EV114" s="194">
        <v>0</v>
      </c>
      <c r="EW114" s="194">
        <f xml:space="preserve"> SUM( EX$4:EX114, -EX114 )</f>
        <v>6</v>
      </c>
      <c r="EX114" s="194">
        <v>0</v>
      </c>
      <c r="EZ114">
        <f t="shared" si="312"/>
        <v>0</v>
      </c>
      <c r="FB114" s="237">
        <f xml:space="preserve"> SUM( FC$4:FC114, -FC114 )</f>
        <v>4</v>
      </c>
      <c r="FC114" s="237">
        <v>0</v>
      </c>
      <c r="FD114" s="237">
        <f xml:space="preserve"> SUM( FE$4:FE114, -FE114 )</f>
        <v>1</v>
      </c>
      <c r="FE114" s="237">
        <v>0</v>
      </c>
      <c r="FF114">
        <f t="shared" si="288"/>
        <v>0</v>
      </c>
    </row>
    <row r="115" spans="1:162">
      <c r="A115" s="54" t="s">
        <v>338</v>
      </c>
      <c r="C115" s="54" t="s">
        <v>1048</v>
      </c>
      <c r="D115" s="1" t="s">
        <v>69</v>
      </c>
      <c r="E115" s="1"/>
      <c r="F115" s="1"/>
      <c r="G115" s="1" t="s">
        <v>1114</v>
      </c>
      <c r="Q115" s="19"/>
      <c r="R115" s="19"/>
      <c r="S115" s="228"/>
      <c r="T115" s="19"/>
      <c r="U115" s="19"/>
      <c r="V115" s="19"/>
      <c r="W115" s="19"/>
      <c r="X115" s="19"/>
      <c r="Y115" s="158"/>
      <c r="Z115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5" s="160" t="str">
        <f xml:space="preserve"> IF( OR(SUM(L115:L120)&gt;0), CONCATENATE( newline &amp; AB115 &amp; AC115 &amp; AD115 &amp; AE115 &amp; AF115 &amp; AG115 &amp; AH115 &amp; AI115 &amp; AJ115 &amp; AK115 ), "" )</f>
        <v/>
      </c>
      <c r="AB115" s="161" t="str">
        <f t="shared" si="231"/>
        <v>Carried Craft</v>
      </c>
      <c r="AC115" s="160" t="str">
        <f t="shared" si="282"/>
        <v xml:space="preserve">                  </v>
      </c>
      <c r="AD115" s="160" t="str">
        <f t="shared" si="289"/>
        <v xml:space="preserve">            </v>
      </c>
      <c r="AE115" s="162" t="str">
        <f t="shared" si="232"/>
        <v/>
      </c>
      <c r="AF115" s="160" t="str">
        <f t="shared" si="290"/>
        <v xml:space="preserve">            </v>
      </c>
      <c r="AG115" s="161" t="str">
        <f t="shared" si="233"/>
        <v/>
      </c>
      <c r="AH115" s="160" t="str">
        <f t="shared" si="327"/>
        <v xml:space="preserve">            </v>
      </c>
      <c r="AI115" s="163" t="str">
        <f t="shared" si="234"/>
        <v/>
      </c>
      <c r="AJ115" s="160" t="str">
        <f t="shared" si="283"/>
        <v xml:space="preserve">      </v>
      </c>
      <c r="AK115" s="163" t="str">
        <f t="shared" si="287"/>
        <v/>
      </c>
      <c r="AL115" s="163"/>
      <c r="AM115" s="153"/>
      <c r="AN115" s="153"/>
      <c r="AO115" s="153"/>
      <c r="AP115" s="153"/>
      <c r="AQ115" t="s">
        <v>989</v>
      </c>
      <c r="AR115" t="s">
        <v>153</v>
      </c>
      <c r="AV115" s="1" t="s">
        <v>12</v>
      </c>
      <c r="AW115" s="1" t="s">
        <v>613</v>
      </c>
      <c r="AX115" s="1" t="s">
        <v>582</v>
      </c>
      <c r="AY115" s="1" t="s">
        <v>161</v>
      </c>
      <c r="AZ115" s="1" t="s">
        <v>56</v>
      </c>
      <c r="BA115" s="1" t="s">
        <v>328</v>
      </c>
      <c r="BB115" s="1" t="s">
        <v>412</v>
      </c>
      <c r="BC115" s="1" t="s">
        <v>108</v>
      </c>
      <c r="BD115" s="1" t="s">
        <v>108</v>
      </c>
      <c r="BF115" s="1" t="s">
        <v>872</v>
      </c>
      <c r="BG115" s="1" t="s">
        <v>873</v>
      </c>
      <c r="BH115" s="1" t="s">
        <v>694</v>
      </c>
      <c r="BI115" s="1" t="s">
        <v>695</v>
      </c>
      <c r="DL115"/>
      <c r="DQ115" s="44"/>
      <c r="DW115" s="194">
        <f xml:space="preserve"> SUM( DX$4:DX115, -DX115 )</f>
        <v>0</v>
      </c>
      <c r="DX115" s="194">
        <v>0</v>
      </c>
      <c r="DY115" s="194">
        <f xml:space="preserve"> SUM( DZ$4:DZ115, -DZ115 )</f>
        <v>13</v>
      </c>
      <c r="DZ115" s="194">
        <v>0</v>
      </c>
      <c r="EA115" s="194">
        <f xml:space="preserve"> SUM( EB$4:EB115, -EB115 )</f>
        <v>12</v>
      </c>
      <c r="EB115" s="194">
        <v>0</v>
      </c>
      <c r="EC115" s="194">
        <f xml:space="preserve"> SUM( ED$4:ED115, -ED115 )</f>
        <v>0</v>
      </c>
      <c r="ED115" s="194">
        <v>0</v>
      </c>
      <c r="EE115" s="194">
        <f xml:space="preserve"> SUM( EF$4:EF115, -EF115 )</f>
        <v>2.6</v>
      </c>
      <c r="EF115" s="194">
        <v>0</v>
      </c>
      <c r="EG115" s="194">
        <f xml:space="preserve"> SUM( EH$4:EH115, -EH115 )</f>
        <v>0</v>
      </c>
      <c r="EH115" s="194">
        <v>0</v>
      </c>
      <c r="EI115" s="194">
        <f xml:space="preserve"> SUM( EJ$4:EJ115, -EJ115 )</f>
        <v>32.4</v>
      </c>
      <c r="EJ115" s="194">
        <v>0</v>
      </c>
      <c r="EK115" s="194">
        <f xml:space="preserve"> SUM( EL$4:EL115, -EL115 )</f>
        <v>0</v>
      </c>
      <c r="EL115" s="194">
        <v>0</v>
      </c>
      <c r="EM115" s="194">
        <f xml:space="preserve"> SUM( EN$4:EN115, -EN115 )</f>
        <v>0</v>
      </c>
      <c r="EN115" s="194">
        <v>0</v>
      </c>
      <c r="EO115" s="194">
        <f xml:space="preserve"> SUM( EP$4:EP115, -EP115 )</f>
        <v>0</v>
      </c>
      <c r="EP115" s="194">
        <f>K115</f>
        <v>0</v>
      </c>
      <c r="EQ115" s="194">
        <f xml:space="preserve"> SUM( ER$4:ER115, -ER115 )</f>
        <v>24</v>
      </c>
      <c r="ER115" s="194">
        <v>0</v>
      </c>
      <c r="ES115" s="194">
        <f xml:space="preserve"> SUM( ET$4:ET115, -ET115 )</f>
        <v>0</v>
      </c>
      <c r="ET115" s="194">
        <v>0</v>
      </c>
      <c r="EU115" s="194">
        <f xml:space="preserve"> SUM( EV$4:EV115, -EV115 )</f>
        <v>10</v>
      </c>
      <c r="EV115" s="194">
        <v>0</v>
      </c>
      <c r="EW115" s="194">
        <f xml:space="preserve"> SUM( EX$4:EX115, -EX115 )</f>
        <v>6</v>
      </c>
      <c r="EX115" s="194">
        <v>0</v>
      </c>
      <c r="EZ115" t="str">
        <f t="shared" si="312"/>
        <v>Carried Craft</v>
      </c>
      <c r="FB115" s="237">
        <f xml:space="preserve"> SUM( FC$4:FC115, -FC115 )</f>
        <v>4</v>
      </c>
      <c r="FC115" s="237">
        <v>0</v>
      </c>
      <c r="FD115" s="237">
        <f xml:space="preserve"> SUM( FE$4:FE115, -FE115 )</f>
        <v>1</v>
      </c>
      <c r="FE115" s="237">
        <v>0</v>
      </c>
      <c r="FF115" t="str">
        <f t="shared" si="288"/>
        <v>Carried Craft</v>
      </c>
    </row>
    <row r="116" spans="1:162">
      <c r="A116" s="16" t="str">
        <f xml:space="preserve"> BL116</f>
        <v>Interior/Hold</v>
      </c>
      <c r="C116" s="16" t="str">
        <f xml:space="preserve"> IFERROR( Simple!B17, Tables!$A$513 )</f>
        <v/>
      </c>
      <c r="D116" s="32">
        <f t="shared" ref="D116:D119" si="535" xml:space="preserve"> BH116</f>
        <v>0</v>
      </c>
      <c r="E116" s="143">
        <f xml:space="preserve"> IF( D116&gt;0, D116, BH116 )</f>
        <v>0</v>
      </c>
      <c r="F116" s="66"/>
      <c r="G116" s="25">
        <f xml:space="preserve"> IFERROR( MAX(Simple!C17,1*(D116&gt;0)), 1*(D116&gt;0) )</f>
        <v>0</v>
      </c>
      <c r="H116" s="26"/>
      <c r="I116" s="2"/>
      <c r="J116" s="28">
        <f>G116</f>
        <v>0</v>
      </c>
      <c r="K116" s="51">
        <f xml:space="preserve"> J116 * AR116 * ( AW116 + E116*AX116 )</f>
        <v>0</v>
      </c>
      <c r="L116" s="51">
        <f xml:space="preserve"> J116 * ( AR116 * AQ116 + BI116 )</f>
        <v>0</v>
      </c>
      <c r="O116" s="48">
        <f>J116*(1+1*(E116&gt;10))</f>
        <v>0</v>
      </c>
      <c r="P116" s="28">
        <f>J116 * E116 *  AY116</f>
        <v>0</v>
      </c>
      <c r="Q116" s="142" t="str">
        <f xml:space="preserve"> IF( D116&gt;AV116, "Craft too large for bracket", "" )</f>
        <v/>
      </c>
      <c r="S116" s="223"/>
      <c r="Z116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6" s="160" t="str">
        <f t="shared" ref="AA116:AA124" si="536" xml:space="preserve"> IF( OR(J116&lt;&gt;0,K116&lt;&gt;0,L116&lt;&gt;0), CONCATENATE( newline &amp; AB116 &amp; AC116 &amp; AD116 &amp; AE116 &amp; AF116 &amp; AG116 &amp; AH116 &amp; AI116 &amp; AJ116 &amp; AK116 ), "" )</f>
        <v/>
      </c>
      <c r="AB116" s="161" t="str">
        <f xml:space="preserve"> CONCATENATE( LEFT(A116,7) &amp;" "&amp; LEFT(C116,15) &amp;" "&amp; D116&amp;" Dt" )</f>
        <v>Interio  0 Dt</v>
      </c>
      <c r="AC116" s="160" t="str">
        <f t="shared" si="282"/>
        <v xml:space="preserve">                  </v>
      </c>
      <c r="AD116" s="160" t="str">
        <f t="shared" si="289"/>
        <v xml:space="preserve">           </v>
      </c>
      <c r="AE116" s="162" t="str">
        <f t="shared" si="232"/>
        <v>0</v>
      </c>
      <c r="AF116" s="160" t="str">
        <f t="shared" si="290"/>
        <v xml:space="preserve">           </v>
      </c>
      <c r="AG116" s="161" t="str">
        <f t="shared" si="233"/>
        <v>0</v>
      </c>
      <c r="AH116" s="160" t="str">
        <f t="shared" si="327"/>
        <v xml:space="preserve">           </v>
      </c>
      <c r="AI116" s="163" t="str">
        <f t="shared" si="234"/>
        <v>0</v>
      </c>
      <c r="AJ116" s="160" t="str">
        <f t="shared" si="283"/>
        <v xml:space="preserve">      </v>
      </c>
      <c r="AK116" s="163" t="str">
        <f t="shared" si="287"/>
        <v/>
      </c>
      <c r="AL116" s="163"/>
      <c r="AM116" s="153"/>
      <c r="AN116" s="153"/>
      <c r="AO116" s="153">
        <f xml:space="preserve"> 1 * ( K116&gt;0 )</f>
        <v>0</v>
      </c>
      <c r="AP116" s="153"/>
      <c r="AQ116">
        <f xml:space="preserve"> IF( Config&lt;5, AZ116, BA116 )</f>
        <v>0</v>
      </c>
      <c r="AR116">
        <f xml:space="preserve"> ROUNDUP(  IF( D116&lt;100, D116/BB116, 3*ROUNDUP(D116/BC116,0) ), 0 )</f>
        <v>0</v>
      </c>
      <c r="AU116" t="str">
        <f xml:space="preserve"> VLOOKUP( $A116, Tables!$A$501:$I$507, 1, 0 )</f>
        <v>Interior/Hold</v>
      </c>
      <c r="AV116">
        <f xml:space="preserve"> VLOOKUP( $A116, Tables!$A$501:$I$507, 2, 0 )</f>
        <v>9999</v>
      </c>
      <c r="AW116">
        <f xml:space="preserve"> VLOOKUP( $A116, Tables!$A$501:$I$507, 3, 0 )</f>
        <v>1</v>
      </c>
      <c r="AX116" s="75">
        <f xml:space="preserve"> VLOOKUP( $A116, Tables!$A$501:$I$507, 4, 0 )</f>
        <v>1</v>
      </c>
      <c r="AY116" s="75">
        <f xml:space="preserve"> VLOOKUP( $A116, Tables!$A$501:$I$507, 5, 0 )</f>
        <v>0</v>
      </c>
      <c r="AZ116">
        <f xml:space="preserve"> VLOOKUP( $A116, Tables!$A$501:$I$507, 6, 0 )</f>
        <v>0</v>
      </c>
      <c r="BA116">
        <f xml:space="preserve"> VLOOKUP( $A116, Tables!$A$501:$I$507, 7, 0 )</f>
        <v>0</v>
      </c>
      <c r="BB116">
        <f xml:space="preserve"> VLOOKUP( $A116, Tables!$A$501:$I$507, 8, 0 )</f>
        <v>9999</v>
      </c>
      <c r="BC116">
        <f xml:space="preserve"> VLOOKUP( $A116, Tables!$A$501:$I$507, 9, 0 )</f>
        <v>9999</v>
      </c>
      <c r="BD116" s="1" t="str">
        <f xml:space="preserve"> VLOOKUP( $A116, Tables!$A$501:$J$507, 10, 0 )</f>
        <v>Hold</v>
      </c>
      <c r="BF116" t="str">
        <f xml:space="preserve"> VLOOKUP( $C116, Tables!$A$513:$D$540, 1, 0 )</f>
        <v/>
      </c>
      <c r="BG116">
        <f xml:space="preserve"> VLOOKUP( $C116, Tables!$A$513:$D$540, 2, 0 )</f>
        <v>0</v>
      </c>
      <c r="BH116">
        <f xml:space="preserve"> VLOOKUP( $C116, Tables!$A$513:$D$540, 3, 0 )</f>
        <v>0</v>
      </c>
      <c r="BI116">
        <f xml:space="preserve"> VLOOKUP( $C116, Tables!$A$513:$D$540, 4, 0 )</f>
        <v>0</v>
      </c>
      <c r="BK116" t="str">
        <f>Tables!$A$503</f>
        <v>Interior/Hold</v>
      </c>
      <c r="BL116" t="str">
        <f xml:space="preserve"> IF( E116&lt;10,Tables!$A$503,Tables!$A$504)</f>
        <v>Interior/Hold</v>
      </c>
      <c r="BM116" t="str">
        <f>Tables!$A$504</f>
        <v>Hangar</v>
      </c>
      <c r="BN116" t="str">
        <f>Tables!$A$505</f>
        <v>Launch Tube</v>
      </c>
      <c r="BO116" t="str">
        <f xml:space="preserve"> IF( E116&gt;Tables!$B$501,Tables!$A$506,Tables!$A$501)</f>
        <v>Bracket</v>
      </c>
      <c r="BP116" t="str">
        <f>Tables!$A$506</f>
        <v>Grapple</v>
      </c>
      <c r="BQ116" t="str">
        <f xml:space="preserve"> Tables!$A$502</f>
        <v>Niche</v>
      </c>
      <c r="DL116"/>
      <c r="DQ116" s="44"/>
      <c r="DW116" s="194">
        <f xml:space="preserve"> SUM( DX$4:DX116, -DX116 )</f>
        <v>0</v>
      </c>
      <c r="DX116" s="194">
        <v>0</v>
      </c>
      <c r="DY116" s="194">
        <f xml:space="preserve"> SUM( DZ$4:DZ116, -DZ116 )</f>
        <v>13</v>
      </c>
      <c r="DZ116" s="194">
        <v>0</v>
      </c>
      <c r="EA116" s="194">
        <f xml:space="preserve"> SUM( EB$4:EB116, -EB116 )</f>
        <v>12</v>
      </c>
      <c r="EB116" s="194">
        <v>0</v>
      </c>
      <c r="EC116" s="194">
        <f xml:space="preserve"> SUM( ED$4:ED116, -ED116 )</f>
        <v>0</v>
      </c>
      <c r="ED116" s="194">
        <v>0</v>
      </c>
      <c r="EE116" s="194">
        <f xml:space="preserve"> SUM( EF$4:EF116, -EF116 )</f>
        <v>2.6</v>
      </c>
      <c r="EF116" s="194">
        <v>0</v>
      </c>
      <c r="EG116" s="194">
        <f xml:space="preserve"> SUM( EH$4:EH116, -EH116 )</f>
        <v>0</v>
      </c>
      <c r="EH116" s="194">
        <v>0</v>
      </c>
      <c r="EI116" s="194">
        <f xml:space="preserve"> SUM( EJ$4:EJ116, -EJ116 )</f>
        <v>32.4</v>
      </c>
      <c r="EJ116" s="194">
        <v>0</v>
      </c>
      <c r="EK116" s="194">
        <f xml:space="preserve"> SUM( EL$4:EL116, -EL116 )</f>
        <v>0</v>
      </c>
      <c r="EL116" s="194">
        <v>0</v>
      </c>
      <c r="EM116" s="194">
        <f xml:space="preserve"> SUM( EN$4:EN116, -EN116 )</f>
        <v>0</v>
      </c>
      <c r="EN116" s="194">
        <v>0</v>
      </c>
      <c r="EO116" s="194">
        <f xml:space="preserve"> SUM( EP$4:EP116, -EP116 )</f>
        <v>0</v>
      </c>
      <c r="EP116" s="194">
        <f t="shared" ref="EP116:EP119" si="537">K116</f>
        <v>0</v>
      </c>
      <c r="EQ116" s="194">
        <f xml:space="preserve"> SUM( ER$4:ER116, -ER116 )</f>
        <v>24</v>
      </c>
      <c r="ER116" s="194">
        <v>0</v>
      </c>
      <c r="ES116" s="194">
        <f xml:space="preserve"> SUM( ET$4:ET116, -ET116 )</f>
        <v>0</v>
      </c>
      <c r="ET116" s="194">
        <v>0</v>
      </c>
      <c r="EU116" s="194">
        <f xml:space="preserve"> SUM( EV$4:EV116, -EV116 )</f>
        <v>10</v>
      </c>
      <c r="EV116" s="194">
        <v>0</v>
      </c>
      <c r="EW116" s="194">
        <f xml:space="preserve"> SUM( EX$4:EX116, -EX116 )</f>
        <v>6</v>
      </c>
      <c r="EX116" s="194">
        <v>0</v>
      </c>
      <c r="EZ116" t="str">
        <f t="shared" si="312"/>
        <v>Interior/Hold</v>
      </c>
      <c r="FB116" s="237">
        <f xml:space="preserve"> SUM( FC$4:FC116, -FC116 )</f>
        <v>4</v>
      </c>
      <c r="FC116" s="237">
        <v>0</v>
      </c>
      <c r="FD116" s="237">
        <f xml:space="preserve"> SUM( FE$4:FE116, -FE116 )</f>
        <v>1</v>
      </c>
      <c r="FE116" s="237">
        <v>0</v>
      </c>
      <c r="FF116" t="str">
        <f t="shared" si="288"/>
        <v>Interior/Hold</v>
      </c>
    </row>
    <row r="117" spans="1:162">
      <c r="A117" s="16" t="str">
        <f t="shared" ref="A117:A119" si="538" xml:space="preserve"> BL117</f>
        <v>Interior/Hold</v>
      </c>
      <c r="C117" s="16" t="str">
        <f xml:space="preserve"> IFERROR( Simple!B18, Tables!$A$513 )</f>
        <v/>
      </c>
      <c r="D117" s="32">
        <f t="shared" si="535"/>
        <v>0</v>
      </c>
      <c r="E117" s="143">
        <f xml:space="preserve"> IF( D117&gt;0, D117, BH117 )</f>
        <v>0</v>
      </c>
      <c r="F117" s="66"/>
      <c r="G117" s="27">
        <f xml:space="preserve"> IFERROR( MAX(Simple!C18,1*(D117&gt;0)), 1*(D117&gt;0) )</f>
        <v>0</v>
      </c>
      <c r="H117" s="26"/>
      <c r="I117" s="2"/>
      <c r="J117" s="28">
        <f>G117</f>
        <v>0</v>
      </c>
      <c r="K117" s="51">
        <f xml:space="preserve"> J117 * AR117 * ( AW117 + D117*AX117 )</f>
        <v>0</v>
      </c>
      <c r="L117" s="194">
        <f t="shared" ref="L117:L119" si="539" xml:space="preserve"> J117 * ( AR117 * AQ117 + BI117 )</f>
        <v>0</v>
      </c>
      <c r="O117" s="48">
        <f>J117*(1+1*(D117&gt;10))</f>
        <v>0</v>
      </c>
      <c r="P117" s="28">
        <f>J117 * D117 *  AY117</f>
        <v>0</v>
      </c>
      <c r="Q117" s="142" t="str">
        <f xml:space="preserve"> IF( D117&gt;AV117, "Craft too large for bracket", "" )</f>
        <v/>
      </c>
      <c r="S117" s="223"/>
      <c r="Z117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7" s="160" t="str">
        <f t="shared" si="536"/>
        <v/>
      </c>
      <c r="AB117" s="161" t="str">
        <f t="shared" ref="AB117:AB119" si="540" xml:space="preserve"> CONCATENATE( LEFT(A117,7) &amp;" "&amp; LEFT(C117,15) &amp;" "&amp; D117&amp;" Dt" )</f>
        <v>Interio  0 Dt</v>
      </c>
      <c r="AC117" s="160" t="str">
        <f t="shared" si="282"/>
        <v xml:space="preserve">                  </v>
      </c>
      <c r="AD117" s="160" t="str">
        <f t="shared" si="289"/>
        <v xml:space="preserve">           </v>
      </c>
      <c r="AE117" s="162" t="str">
        <f t="shared" si="232"/>
        <v>0</v>
      </c>
      <c r="AF117" s="160" t="str">
        <f t="shared" si="290"/>
        <v xml:space="preserve">           </v>
      </c>
      <c r="AG117" s="161" t="str">
        <f t="shared" si="233"/>
        <v>0</v>
      </c>
      <c r="AH117" s="160" t="str">
        <f t="shared" si="327"/>
        <v xml:space="preserve">           </v>
      </c>
      <c r="AI117" s="163" t="str">
        <f t="shared" si="234"/>
        <v>0</v>
      </c>
      <c r="AJ117" s="160" t="str">
        <f t="shared" si="283"/>
        <v xml:space="preserve">      </v>
      </c>
      <c r="AK117" s="163" t="str">
        <f t="shared" si="287"/>
        <v/>
      </c>
      <c r="AL117" s="163"/>
      <c r="AM117" s="153"/>
      <c r="AN117" s="153"/>
      <c r="AO117" s="153">
        <f t="shared" ref="AO117:AO119" si="541" xml:space="preserve"> 1 * ( K117&gt;0 )</f>
        <v>0</v>
      </c>
      <c r="AP117" s="153"/>
      <c r="AQ117">
        <f t="shared" ref="AQ117:AQ119" si="542" xml:space="preserve"> IF( Config&lt;5, AZ117, BA117 )</f>
        <v>0</v>
      </c>
      <c r="AR117">
        <f xml:space="preserve"> ROUNDUP(  IF( D117&lt;100, D117/BB117, 3*ROUNDUP(D117/BC117,0) ), 0 )</f>
        <v>0</v>
      </c>
      <c r="AU117" t="str">
        <f xml:space="preserve"> VLOOKUP( $A117, Tables!$A$501:$I$507, 1, 0 )</f>
        <v>Interior/Hold</v>
      </c>
      <c r="AV117">
        <f xml:space="preserve"> VLOOKUP( $A117, Tables!$A$501:$I$507, 2, 0 )</f>
        <v>9999</v>
      </c>
      <c r="AW117">
        <f xml:space="preserve"> VLOOKUP( $A117, Tables!$A$501:$I$507, 3, 0 )</f>
        <v>1</v>
      </c>
      <c r="AX117" s="75">
        <f xml:space="preserve"> VLOOKUP( $A117, Tables!$A$501:$I$507, 4, 0 )</f>
        <v>1</v>
      </c>
      <c r="AY117" s="75">
        <f xml:space="preserve"> VLOOKUP( $A117, Tables!$A$501:$I$507, 5, 0 )</f>
        <v>0</v>
      </c>
      <c r="AZ117">
        <f xml:space="preserve"> VLOOKUP( $A117, Tables!$A$501:$I$507, 6, 0 )</f>
        <v>0</v>
      </c>
      <c r="BA117">
        <f xml:space="preserve"> VLOOKUP( $A117, Tables!$A$501:$I$507, 7, 0 )</f>
        <v>0</v>
      </c>
      <c r="BB117">
        <f xml:space="preserve"> VLOOKUP( $A117, Tables!$A$501:$I$507, 8, 0 )</f>
        <v>9999</v>
      </c>
      <c r="BC117">
        <f xml:space="preserve"> VLOOKUP( $A117, Tables!$A$501:$I$507, 9, 0 )</f>
        <v>9999</v>
      </c>
      <c r="BD117" s="1" t="str">
        <f xml:space="preserve"> VLOOKUP( $A117, Tables!$A$501:$J$507, 10, 0 )</f>
        <v>Hold</v>
      </c>
      <c r="BF117" t="str">
        <f xml:space="preserve"> VLOOKUP( $C117, Tables!$A$513:$D$540, 1, 0 )</f>
        <v/>
      </c>
      <c r="BG117">
        <f xml:space="preserve"> VLOOKUP( $C117, Tables!$A$513:$D$540, 2, 0 )</f>
        <v>0</v>
      </c>
      <c r="BH117">
        <f xml:space="preserve"> VLOOKUP( $C117, Tables!$A$513:$D$540, 3, 0 )</f>
        <v>0</v>
      </c>
      <c r="BI117">
        <f xml:space="preserve"> VLOOKUP( $C117, Tables!$A$513:$D$540, 4, 0 )</f>
        <v>0</v>
      </c>
      <c r="BK117" t="str">
        <f>Tables!$A$503</f>
        <v>Interior/Hold</v>
      </c>
      <c r="BL117" t="str">
        <f xml:space="preserve"> IF( E117&lt;10,Tables!$A$503,Tables!$A$504)</f>
        <v>Interior/Hold</v>
      </c>
      <c r="BM117" t="str">
        <f>Tables!$A$504</f>
        <v>Hangar</v>
      </c>
      <c r="BN117" t="str">
        <f>Tables!$A$505</f>
        <v>Launch Tube</v>
      </c>
      <c r="BO117" t="str">
        <f xml:space="preserve"> IF( E117&gt;Tables!$B$501,Tables!$A$506,Tables!$A$501)</f>
        <v>Bracket</v>
      </c>
      <c r="BP117" t="str">
        <f>Tables!$A$506</f>
        <v>Grapple</v>
      </c>
      <c r="BQ117" t="str">
        <f xml:space="preserve"> Tables!$A$502</f>
        <v>Niche</v>
      </c>
      <c r="DL117"/>
      <c r="DQ117" s="44"/>
      <c r="DW117" s="194">
        <f xml:space="preserve"> SUM( DX$4:DX117, -DX117 )</f>
        <v>0</v>
      </c>
      <c r="DX117" s="194">
        <v>0</v>
      </c>
      <c r="DY117" s="194">
        <f xml:space="preserve"> SUM( DZ$4:DZ117, -DZ117 )</f>
        <v>13</v>
      </c>
      <c r="DZ117" s="194">
        <v>0</v>
      </c>
      <c r="EA117" s="194">
        <f xml:space="preserve"> SUM( EB$4:EB117, -EB117 )</f>
        <v>12</v>
      </c>
      <c r="EB117" s="194">
        <v>0</v>
      </c>
      <c r="EC117" s="194">
        <f xml:space="preserve"> SUM( ED$4:ED117, -ED117 )</f>
        <v>0</v>
      </c>
      <c r="ED117" s="194">
        <v>0</v>
      </c>
      <c r="EE117" s="194">
        <f xml:space="preserve"> SUM( EF$4:EF117, -EF117 )</f>
        <v>2.6</v>
      </c>
      <c r="EF117" s="194">
        <v>0</v>
      </c>
      <c r="EG117" s="194">
        <f xml:space="preserve"> SUM( EH$4:EH117, -EH117 )</f>
        <v>0</v>
      </c>
      <c r="EH117" s="194">
        <v>0</v>
      </c>
      <c r="EI117" s="194">
        <f xml:space="preserve"> SUM( EJ$4:EJ117, -EJ117 )</f>
        <v>32.4</v>
      </c>
      <c r="EJ117" s="194">
        <v>0</v>
      </c>
      <c r="EK117" s="194">
        <f xml:space="preserve"> SUM( EL$4:EL117, -EL117 )</f>
        <v>0</v>
      </c>
      <c r="EL117" s="194">
        <v>0</v>
      </c>
      <c r="EM117" s="194">
        <f xml:space="preserve"> SUM( EN$4:EN117, -EN117 )</f>
        <v>0</v>
      </c>
      <c r="EN117" s="194">
        <v>0</v>
      </c>
      <c r="EO117" s="194">
        <f xml:space="preserve"> SUM( EP$4:EP117, -EP117 )</f>
        <v>0</v>
      </c>
      <c r="EP117" s="194">
        <f t="shared" si="537"/>
        <v>0</v>
      </c>
      <c r="EQ117" s="194">
        <f xml:space="preserve"> SUM( ER$4:ER117, -ER117 )</f>
        <v>24</v>
      </c>
      <c r="ER117" s="194">
        <v>0</v>
      </c>
      <c r="ES117" s="194">
        <f xml:space="preserve"> SUM( ET$4:ET117, -ET117 )</f>
        <v>0</v>
      </c>
      <c r="ET117" s="194">
        <v>0</v>
      </c>
      <c r="EU117" s="194">
        <f xml:space="preserve"> SUM( EV$4:EV117, -EV117 )</f>
        <v>10</v>
      </c>
      <c r="EV117" s="194">
        <v>0</v>
      </c>
      <c r="EW117" s="194">
        <f xml:space="preserve"> SUM( EX$4:EX117, -EX117 )</f>
        <v>6</v>
      </c>
      <c r="EX117" s="194">
        <v>0</v>
      </c>
      <c r="EZ117" t="str">
        <f t="shared" si="312"/>
        <v>Interior/Hold</v>
      </c>
      <c r="FB117" s="237">
        <f xml:space="preserve"> SUM( FC$4:FC117, -FC117 )</f>
        <v>4</v>
      </c>
      <c r="FC117" s="237">
        <v>0</v>
      </c>
      <c r="FD117" s="237">
        <f xml:space="preserve"> SUM( FE$4:FE117, -FE117 )</f>
        <v>1</v>
      </c>
      <c r="FE117" s="237">
        <v>0</v>
      </c>
      <c r="FF117" t="str">
        <f t="shared" si="288"/>
        <v>Interior/Hold</v>
      </c>
    </row>
    <row r="118" spans="1:162">
      <c r="A118" s="16" t="str">
        <f t="shared" si="538"/>
        <v>Interior/Hold</v>
      </c>
      <c r="C118" s="16" t="str">
        <f xml:space="preserve"> IFERROR( Simple!B19, Tables!$A$513 )</f>
        <v/>
      </c>
      <c r="D118" s="32">
        <f t="shared" si="535"/>
        <v>0</v>
      </c>
      <c r="E118" s="143">
        <f xml:space="preserve"> IF( D118&gt;0, D118, BH118 )</f>
        <v>0</v>
      </c>
      <c r="F118" s="66"/>
      <c r="G118" s="27">
        <f xml:space="preserve"> IFERROR( MAX(Simple!C19,1*(D118&gt;0)), 1*(D118&gt;0) )</f>
        <v>0</v>
      </c>
      <c r="H118" s="26"/>
      <c r="J118" s="28">
        <f>G118</f>
        <v>0</v>
      </c>
      <c r="K118" s="51">
        <f xml:space="preserve"> J118 * AR118 * ( AW118 + D118*AX118 )</f>
        <v>0</v>
      </c>
      <c r="L118" s="194">
        <f t="shared" si="539"/>
        <v>0</v>
      </c>
      <c r="O118" s="3">
        <f>J118*(1+1*(D118&gt;10))</f>
        <v>0</v>
      </c>
      <c r="P118" s="28">
        <f>J118 * D118 *  AY118</f>
        <v>0</v>
      </c>
      <c r="Q118" s="142" t="str">
        <f xml:space="preserve"> IF( D118&gt;AV118, "Craft too large for bracket", "" )</f>
        <v/>
      </c>
      <c r="R118" s="86"/>
      <c r="S118" s="229"/>
      <c r="T118" s="86"/>
      <c r="U118" s="86"/>
      <c r="V118" s="86"/>
      <c r="W118" s="86"/>
      <c r="X118" s="86"/>
      <c r="Y118" s="159"/>
      <c r="Z118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8" s="160" t="str">
        <f t="shared" si="536"/>
        <v/>
      </c>
      <c r="AB118" s="161" t="str">
        <f t="shared" si="540"/>
        <v>Interio  0 Dt</v>
      </c>
      <c r="AC118" s="160" t="str">
        <f t="shared" si="282"/>
        <v xml:space="preserve">                  </v>
      </c>
      <c r="AD118" s="160" t="str">
        <f t="shared" si="289"/>
        <v xml:space="preserve">           </v>
      </c>
      <c r="AE118" s="162" t="str">
        <f t="shared" si="232"/>
        <v>0</v>
      </c>
      <c r="AF118" s="160" t="str">
        <f t="shared" si="290"/>
        <v xml:space="preserve">           </v>
      </c>
      <c r="AG118" s="161" t="str">
        <f t="shared" si="233"/>
        <v>0</v>
      </c>
      <c r="AH118" s="160" t="str">
        <f t="shared" si="327"/>
        <v xml:space="preserve">           </v>
      </c>
      <c r="AI118" s="163" t="str">
        <f t="shared" si="234"/>
        <v>0</v>
      </c>
      <c r="AJ118" s="160" t="str">
        <f t="shared" si="283"/>
        <v xml:space="preserve">      </v>
      </c>
      <c r="AK118" s="163" t="str">
        <f t="shared" si="287"/>
        <v/>
      </c>
      <c r="AL118" s="163"/>
      <c r="AM118" s="153"/>
      <c r="AN118" s="153"/>
      <c r="AO118" s="153">
        <f t="shared" si="541"/>
        <v>0</v>
      </c>
      <c r="AP118" s="153"/>
      <c r="AQ118">
        <f t="shared" si="542"/>
        <v>0</v>
      </c>
      <c r="AR118">
        <f xml:space="preserve"> ROUNDUP(  IF( D118&lt;100, D118/BB118, 3*ROUNDUP(D118/BC118,0) ), 0 )</f>
        <v>0</v>
      </c>
      <c r="AU118" t="str">
        <f xml:space="preserve"> VLOOKUP( $A118, Tables!$A$501:$I$507, 1, 0 )</f>
        <v>Interior/Hold</v>
      </c>
      <c r="AV118">
        <f xml:space="preserve"> VLOOKUP( $A118, Tables!$A$501:$I$507, 2, 0 )</f>
        <v>9999</v>
      </c>
      <c r="AW118">
        <f xml:space="preserve"> VLOOKUP( $A118, Tables!$A$501:$I$507, 3, 0 )</f>
        <v>1</v>
      </c>
      <c r="AX118" s="75">
        <f xml:space="preserve"> VLOOKUP( $A118, Tables!$A$501:$I$507, 4, 0 )</f>
        <v>1</v>
      </c>
      <c r="AY118" s="75">
        <f xml:space="preserve"> VLOOKUP( $A118, Tables!$A$501:$I$507, 5, 0 )</f>
        <v>0</v>
      </c>
      <c r="AZ118">
        <f xml:space="preserve"> VLOOKUP( $A118, Tables!$A$501:$I$507, 6, 0 )</f>
        <v>0</v>
      </c>
      <c r="BA118">
        <f xml:space="preserve"> VLOOKUP( $A118, Tables!$A$501:$I$507, 7, 0 )</f>
        <v>0</v>
      </c>
      <c r="BB118">
        <f xml:space="preserve"> VLOOKUP( $A118, Tables!$A$501:$I$507, 8, 0 )</f>
        <v>9999</v>
      </c>
      <c r="BC118">
        <f xml:space="preserve"> VLOOKUP( $A118, Tables!$A$501:$I$507, 9, 0 )</f>
        <v>9999</v>
      </c>
      <c r="BD118" s="1" t="str">
        <f xml:space="preserve"> VLOOKUP( $A118, Tables!$A$501:$J$507, 10, 0 )</f>
        <v>Hold</v>
      </c>
      <c r="BF118" t="str">
        <f xml:space="preserve"> VLOOKUP( $C118, Tables!$A$513:$D$540, 1, 0 )</f>
        <v/>
      </c>
      <c r="BG118">
        <f xml:space="preserve"> VLOOKUP( $C118, Tables!$A$513:$D$540, 2, 0 )</f>
        <v>0</v>
      </c>
      <c r="BH118">
        <f xml:space="preserve"> VLOOKUP( $C118, Tables!$A$513:$D$540, 3, 0 )</f>
        <v>0</v>
      </c>
      <c r="BI118">
        <f xml:space="preserve"> VLOOKUP( $C118, Tables!$A$513:$D$540, 4, 0 )</f>
        <v>0</v>
      </c>
      <c r="BK118" t="str">
        <f>Tables!$A$503</f>
        <v>Interior/Hold</v>
      </c>
      <c r="BL118" t="str">
        <f xml:space="preserve"> IF( E118&lt;10,Tables!$A$503,Tables!$A$504)</f>
        <v>Interior/Hold</v>
      </c>
      <c r="BM118" t="str">
        <f>Tables!$A$504</f>
        <v>Hangar</v>
      </c>
      <c r="BN118" t="str">
        <f>Tables!$A$505</f>
        <v>Launch Tube</v>
      </c>
      <c r="BO118" t="str">
        <f xml:space="preserve"> IF( E118&gt;Tables!$B$501,Tables!$A$506,Tables!$A$501)</f>
        <v>Bracket</v>
      </c>
      <c r="BP118" t="str">
        <f>Tables!$A$506</f>
        <v>Grapple</v>
      </c>
      <c r="BQ118" t="str">
        <f xml:space="preserve"> Tables!$A$502</f>
        <v>Niche</v>
      </c>
      <c r="DL118"/>
      <c r="DQ118" s="44"/>
      <c r="DW118" s="194">
        <f xml:space="preserve"> SUM( DX$4:DX118, -DX118 )</f>
        <v>0</v>
      </c>
      <c r="DX118" s="194">
        <v>0</v>
      </c>
      <c r="DY118" s="194">
        <f xml:space="preserve"> SUM( DZ$4:DZ118, -DZ118 )</f>
        <v>13</v>
      </c>
      <c r="DZ118" s="194">
        <v>0</v>
      </c>
      <c r="EA118" s="194">
        <f xml:space="preserve"> SUM( EB$4:EB118, -EB118 )</f>
        <v>12</v>
      </c>
      <c r="EB118" s="194">
        <v>0</v>
      </c>
      <c r="EC118" s="194">
        <f xml:space="preserve"> SUM( ED$4:ED118, -ED118 )</f>
        <v>0</v>
      </c>
      <c r="ED118" s="194">
        <v>0</v>
      </c>
      <c r="EE118" s="194">
        <f xml:space="preserve"> SUM( EF$4:EF118, -EF118 )</f>
        <v>2.6</v>
      </c>
      <c r="EF118" s="194">
        <v>0</v>
      </c>
      <c r="EG118" s="194">
        <f xml:space="preserve"> SUM( EH$4:EH118, -EH118 )</f>
        <v>0</v>
      </c>
      <c r="EH118" s="194">
        <v>0</v>
      </c>
      <c r="EI118" s="194">
        <f xml:space="preserve"> SUM( EJ$4:EJ118, -EJ118 )</f>
        <v>32.4</v>
      </c>
      <c r="EJ118" s="194">
        <v>0</v>
      </c>
      <c r="EK118" s="194">
        <f xml:space="preserve"> SUM( EL$4:EL118, -EL118 )</f>
        <v>0</v>
      </c>
      <c r="EL118" s="194">
        <v>0</v>
      </c>
      <c r="EM118" s="194">
        <f xml:space="preserve"> SUM( EN$4:EN118, -EN118 )</f>
        <v>0</v>
      </c>
      <c r="EN118" s="194">
        <v>0</v>
      </c>
      <c r="EO118" s="194">
        <f xml:space="preserve"> SUM( EP$4:EP118, -EP118 )</f>
        <v>0</v>
      </c>
      <c r="EP118" s="194">
        <f t="shared" si="537"/>
        <v>0</v>
      </c>
      <c r="EQ118" s="194">
        <f xml:space="preserve"> SUM( ER$4:ER118, -ER118 )</f>
        <v>24</v>
      </c>
      <c r="ER118" s="194">
        <v>0</v>
      </c>
      <c r="ES118" s="194">
        <f xml:space="preserve"> SUM( ET$4:ET118, -ET118 )</f>
        <v>0</v>
      </c>
      <c r="ET118" s="194">
        <v>0</v>
      </c>
      <c r="EU118" s="194">
        <f xml:space="preserve"> SUM( EV$4:EV118, -EV118 )</f>
        <v>10</v>
      </c>
      <c r="EV118" s="194">
        <v>0</v>
      </c>
      <c r="EW118" s="194">
        <f xml:space="preserve"> SUM( EX$4:EX118, -EX118 )</f>
        <v>6</v>
      </c>
      <c r="EX118" s="194">
        <v>0</v>
      </c>
      <c r="EZ118" t="str">
        <f t="shared" si="312"/>
        <v>Interior/Hold</v>
      </c>
      <c r="FB118" s="237">
        <f xml:space="preserve"> SUM( FC$4:FC118, -FC118 )</f>
        <v>4</v>
      </c>
      <c r="FC118" s="237">
        <v>0</v>
      </c>
      <c r="FD118" s="237">
        <f xml:space="preserve"> SUM( FE$4:FE118, -FE118 )</f>
        <v>1</v>
      </c>
      <c r="FE118" s="237">
        <v>0</v>
      </c>
      <c r="FF118" t="str">
        <f t="shared" si="288"/>
        <v>Interior/Hold</v>
      </c>
    </row>
    <row r="119" spans="1:162">
      <c r="A119" s="16" t="str">
        <f t="shared" si="538"/>
        <v>Interior/Hold</v>
      </c>
      <c r="C119" s="16" t="str">
        <f xml:space="preserve"> IFERROR( Simple!B20, Tables!$A$513 )</f>
        <v/>
      </c>
      <c r="D119" s="32">
        <f t="shared" si="535"/>
        <v>0</v>
      </c>
      <c r="E119" s="143">
        <f xml:space="preserve"> IF( D119&gt;0, D119, BH119 )</f>
        <v>0</v>
      </c>
      <c r="F119" s="66"/>
      <c r="G119" s="27">
        <f xml:space="preserve"> IFERROR( MAX(Simple!C20,1*(D119&gt;0)), 1*(D119&gt;0) )</f>
        <v>0</v>
      </c>
      <c r="H119" s="28"/>
      <c r="J119" s="28">
        <f>G119</f>
        <v>0</v>
      </c>
      <c r="K119" s="51">
        <f xml:space="preserve"> J119 * AR119 * ( AW119 + D119*AX119 )</f>
        <v>0</v>
      </c>
      <c r="L119" s="194">
        <f t="shared" si="539"/>
        <v>0</v>
      </c>
      <c r="O119" s="48">
        <f>J119*(1+1*(D119&gt;10))</f>
        <v>0</v>
      </c>
      <c r="P119" s="28">
        <f>J119 * D119 *  AY119</f>
        <v>0</v>
      </c>
      <c r="Q119" s="142" t="str">
        <f xml:space="preserve"> IF( D119&gt;AV119, "Craft too large for bracket", "" )</f>
        <v/>
      </c>
      <c r="R119" s="86"/>
      <c r="S119" s="229"/>
      <c r="T119" s="86"/>
      <c r="U119" s="86"/>
      <c r="V119" s="86"/>
      <c r="W119" s="86"/>
      <c r="X119" s="86"/>
      <c r="Y119" s="159"/>
      <c r="Z119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19" s="160" t="str">
        <f t="shared" si="536"/>
        <v/>
      </c>
      <c r="AB119" s="161" t="str">
        <f t="shared" si="540"/>
        <v>Interio  0 Dt</v>
      </c>
      <c r="AC119" s="160" t="str">
        <f t="shared" si="282"/>
        <v xml:space="preserve">                  </v>
      </c>
      <c r="AD119" s="160" t="str">
        <f t="shared" si="289"/>
        <v xml:space="preserve">           </v>
      </c>
      <c r="AE119" s="162" t="str">
        <f t="shared" ref="AE119:AE123" si="543" xml:space="preserve"> CONCATENATE( J119 )</f>
        <v>0</v>
      </c>
      <c r="AF119" s="160" t="str">
        <f t="shared" si="290"/>
        <v xml:space="preserve">           </v>
      </c>
      <c r="AG119" s="161" t="str">
        <f t="shared" ref="AG119:AG123" si="544" xml:space="preserve"> CONCATENATE( K119 )</f>
        <v>0</v>
      </c>
      <c r="AH119" s="160" t="str">
        <f t="shared" si="327"/>
        <v xml:space="preserve">           </v>
      </c>
      <c r="AI119" s="163" t="str">
        <f t="shared" ref="AI119:AI143" si="545" xml:space="preserve"> CONCATENATE( L119 )</f>
        <v>0</v>
      </c>
      <c r="AJ119" s="160" t="str">
        <f t="shared" si="283"/>
        <v xml:space="preserve">      </v>
      </c>
      <c r="AK119" s="163" t="str">
        <f t="shared" si="287"/>
        <v/>
      </c>
      <c r="AL119" s="163"/>
      <c r="AM119" s="153"/>
      <c r="AN119" s="153"/>
      <c r="AO119" s="153">
        <f t="shared" si="541"/>
        <v>0</v>
      </c>
      <c r="AP119" s="153"/>
      <c r="AQ119">
        <f t="shared" si="542"/>
        <v>0</v>
      </c>
      <c r="AR119">
        <f xml:space="preserve"> ROUNDUP(  IF( D119&lt;100, D119/BB119, 3*ROUNDUP(D119/BC119,0) ), 0 )</f>
        <v>0</v>
      </c>
      <c r="AU119" t="str">
        <f xml:space="preserve"> VLOOKUP( $A119, Tables!$A$501:$I$507, 1, 0 )</f>
        <v>Interior/Hold</v>
      </c>
      <c r="AV119">
        <f xml:space="preserve"> VLOOKUP( $A119, Tables!$A$501:$I$507, 2, 0 )</f>
        <v>9999</v>
      </c>
      <c r="AW119">
        <f xml:space="preserve"> VLOOKUP( $A119, Tables!$A$501:$I$507, 3, 0 )</f>
        <v>1</v>
      </c>
      <c r="AX119" s="75">
        <f xml:space="preserve"> VLOOKUP( $A119, Tables!$A$501:$I$507, 4, 0 )</f>
        <v>1</v>
      </c>
      <c r="AY119" s="75">
        <f xml:space="preserve"> VLOOKUP( $A119, Tables!$A$501:$I$507, 5, 0 )</f>
        <v>0</v>
      </c>
      <c r="AZ119">
        <f xml:space="preserve"> VLOOKUP( $A119, Tables!$A$501:$I$507, 6, 0 )</f>
        <v>0</v>
      </c>
      <c r="BA119">
        <f xml:space="preserve"> VLOOKUP( $A119, Tables!$A$501:$I$507, 7, 0 )</f>
        <v>0</v>
      </c>
      <c r="BB119">
        <f xml:space="preserve"> VLOOKUP( $A119, Tables!$A$501:$I$507, 8, 0 )</f>
        <v>9999</v>
      </c>
      <c r="BC119">
        <f xml:space="preserve"> VLOOKUP( $A119, Tables!$A$501:$I$507, 9, 0 )</f>
        <v>9999</v>
      </c>
      <c r="BD119" s="1" t="str">
        <f xml:space="preserve"> VLOOKUP( $A119, Tables!$A$501:$J$507, 10, 0 )</f>
        <v>Hold</v>
      </c>
      <c r="BF119" t="str">
        <f xml:space="preserve"> VLOOKUP( $C119, Tables!$A$513:$D$540, 1, 0 )</f>
        <v/>
      </c>
      <c r="BG119">
        <f xml:space="preserve"> VLOOKUP( $C119, Tables!$A$513:$D$540, 2, 0 )</f>
        <v>0</v>
      </c>
      <c r="BH119">
        <f xml:space="preserve"> VLOOKUP( $C119, Tables!$A$513:$D$540, 3, 0 )</f>
        <v>0</v>
      </c>
      <c r="BI119">
        <f xml:space="preserve"> VLOOKUP( $C119, Tables!$A$513:$D$540, 4, 0 )</f>
        <v>0</v>
      </c>
      <c r="BK119" t="str">
        <f>Tables!$A$503</f>
        <v>Interior/Hold</v>
      </c>
      <c r="BL119" t="str">
        <f xml:space="preserve"> IF( E119&lt;10,Tables!$A$503,Tables!$A$504)</f>
        <v>Interior/Hold</v>
      </c>
      <c r="BM119" t="str">
        <f>Tables!$A$504</f>
        <v>Hangar</v>
      </c>
      <c r="BN119" t="str">
        <f>Tables!$A$505</f>
        <v>Launch Tube</v>
      </c>
      <c r="BO119" t="str">
        <f xml:space="preserve"> IF( E119&gt;Tables!$B$501,Tables!$A$506,Tables!$A$501)</f>
        <v>Bracket</v>
      </c>
      <c r="BP119" t="str">
        <f>Tables!$A$506</f>
        <v>Grapple</v>
      </c>
      <c r="BQ119" t="str">
        <f xml:space="preserve"> Tables!$A$502</f>
        <v>Niche</v>
      </c>
      <c r="DL119"/>
      <c r="DQ119" s="44"/>
      <c r="DW119" s="194">
        <f xml:space="preserve"> SUM( DX$4:DX119, -DX119 )</f>
        <v>0</v>
      </c>
      <c r="DX119" s="194">
        <v>0</v>
      </c>
      <c r="DY119" s="194">
        <f xml:space="preserve"> SUM( DZ$4:DZ119, -DZ119 )</f>
        <v>13</v>
      </c>
      <c r="DZ119" s="194">
        <v>0</v>
      </c>
      <c r="EA119" s="194">
        <f xml:space="preserve"> SUM( EB$4:EB119, -EB119 )</f>
        <v>12</v>
      </c>
      <c r="EB119" s="194">
        <v>0</v>
      </c>
      <c r="EC119" s="194">
        <f xml:space="preserve"> SUM( ED$4:ED119, -ED119 )</f>
        <v>0</v>
      </c>
      <c r="ED119" s="194">
        <v>0</v>
      </c>
      <c r="EE119" s="194">
        <f xml:space="preserve"> SUM( EF$4:EF119, -EF119 )</f>
        <v>2.6</v>
      </c>
      <c r="EF119" s="194">
        <v>0</v>
      </c>
      <c r="EG119" s="194">
        <f xml:space="preserve"> SUM( EH$4:EH119, -EH119 )</f>
        <v>0</v>
      </c>
      <c r="EH119" s="194">
        <v>0</v>
      </c>
      <c r="EI119" s="194">
        <f xml:space="preserve"> SUM( EJ$4:EJ119, -EJ119 )</f>
        <v>32.4</v>
      </c>
      <c r="EJ119" s="194">
        <v>0</v>
      </c>
      <c r="EK119" s="194">
        <f xml:space="preserve"> SUM( EL$4:EL119, -EL119 )</f>
        <v>0</v>
      </c>
      <c r="EL119" s="194">
        <v>0</v>
      </c>
      <c r="EM119" s="194">
        <f xml:space="preserve"> SUM( EN$4:EN119, -EN119 )</f>
        <v>0</v>
      </c>
      <c r="EN119" s="194">
        <v>0</v>
      </c>
      <c r="EO119" s="194">
        <f xml:space="preserve"> SUM( EP$4:EP119, -EP119 )</f>
        <v>0</v>
      </c>
      <c r="EP119" s="194">
        <f t="shared" si="537"/>
        <v>0</v>
      </c>
      <c r="EQ119" s="194">
        <f xml:space="preserve"> SUM( ER$4:ER119, -ER119 )</f>
        <v>24</v>
      </c>
      <c r="ER119" s="194">
        <v>0</v>
      </c>
      <c r="ES119" s="194">
        <f xml:space="preserve"> SUM( ET$4:ET119, -ET119 )</f>
        <v>0</v>
      </c>
      <c r="ET119" s="194">
        <v>0</v>
      </c>
      <c r="EU119" s="194">
        <f xml:space="preserve"> SUM( EV$4:EV119, -EV119 )</f>
        <v>10</v>
      </c>
      <c r="EV119" s="194">
        <v>0</v>
      </c>
      <c r="EW119" s="194">
        <f xml:space="preserve"> SUM( EX$4:EX119, -EX119 )</f>
        <v>6</v>
      </c>
      <c r="EX119" s="194">
        <v>0</v>
      </c>
      <c r="EZ119" t="str">
        <f t="shared" si="312"/>
        <v>Interior/Hold</v>
      </c>
      <c r="FB119" s="237">
        <f xml:space="preserve"> SUM( FC$4:FC119, -FC119 )</f>
        <v>4</v>
      </c>
      <c r="FC119" s="237">
        <v>0</v>
      </c>
      <c r="FD119" s="237">
        <f xml:space="preserve"> SUM( FE$4:FE119, -FE119 )</f>
        <v>1</v>
      </c>
      <c r="FE119" s="237">
        <v>0</v>
      </c>
      <c r="FF119" t="str">
        <f t="shared" si="288"/>
        <v>Interior/Hold</v>
      </c>
    </row>
    <row r="120" spans="1:162">
      <c r="H120" s="28"/>
      <c r="J120" s="28"/>
      <c r="K120" s="51"/>
      <c r="L120" s="51"/>
      <c r="O120" s="21"/>
      <c r="S120" s="223"/>
      <c r="Z120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20" s="160" t="str">
        <f xml:space="preserve"> IF( OR(SUM(L115:L120)&gt;0), CONCATENATE( newline &amp; AB120 &amp; AC120 &amp; AD120 &amp; AE120 &amp; AF120 &amp; AG120 &amp; AH120 &amp; AI120 &amp; AJ120 &amp; AK120 ), "" )</f>
        <v/>
      </c>
      <c r="AB120" s="161" t="str">
        <f t="shared" ref="AB120:AB124" si="546" xml:space="preserve"> CONCATENATE( A120 )</f>
        <v/>
      </c>
      <c r="AC120" s="160" t="str">
        <f t="shared" si="282"/>
        <v xml:space="preserve">                               </v>
      </c>
      <c r="AD120" s="160" t="str">
        <f t="shared" si="289"/>
        <v xml:space="preserve">            </v>
      </c>
      <c r="AE120" s="162" t="str">
        <f t="shared" si="543"/>
        <v/>
      </c>
      <c r="AF120" s="160" t="str">
        <f t="shared" si="290"/>
        <v xml:space="preserve">            </v>
      </c>
      <c r="AG120" s="161" t="str">
        <f t="shared" si="544"/>
        <v/>
      </c>
      <c r="AH120" s="160" t="str">
        <f t="shared" si="327"/>
        <v xml:space="preserve">            </v>
      </c>
      <c r="AI120" s="163" t="str">
        <f t="shared" si="545"/>
        <v/>
      </c>
      <c r="AJ120" s="160" t="str">
        <f t="shared" si="283"/>
        <v xml:space="preserve">      </v>
      </c>
      <c r="AK120" s="163" t="str">
        <f t="shared" si="287"/>
        <v/>
      </c>
      <c r="AL120" s="163"/>
      <c r="AM120" s="153"/>
      <c r="AN120" s="153"/>
      <c r="AO120" s="153"/>
      <c r="AP120" s="153"/>
      <c r="DL120"/>
      <c r="DQ120" s="44"/>
      <c r="DW120" s="194">
        <f xml:space="preserve"> SUM( DX$4:DX120, -DX120 )</f>
        <v>0</v>
      </c>
      <c r="DX120" s="194">
        <v>0</v>
      </c>
      <c r="DY120" s="194">
        <f xml:space="preserve"> SUM( DZ$4:DZ120, -DZ120 )</f>
        <v>13</v>
      </c>
      <c r="DZ120" s="194">
        <v>0</v>
      </c>
      <c r="EA120" s="194">
        <f xml:space="preserve"> SUM( EB$4:EB120, -EB120 )</f>
        <v>12</v>
      </c>
      <c r="EB120" s="194">
        <v>0</v>
      </c>
      <c r="EC120" s="194">
        <f xml:space="preserve"> SUM( ED$4:ED120, -ED120 )</f>
        <v>0</v>
      </c>
      <c r="ED120" s="194">
        <v>0</v>
      </c>
      <c r="EE120" s="194">
        <f xml:space="preserve"> SUM( EF$4:EF120, -EF120 )</f>
        <v>2.6</v>
      </c>
      <c r="EF120" s="194">
        <v>0</v>
      </c>
      <c r="EG120" s="194">
        <f xml:space="preserve"> SUM( EH$4:EH120, -EH120 )</f>
        <v>0</v>
      </c>
      <c r="EH120" s="194">
        <v>0</v>
      </c>
      <c r="EI120" s="194">
        <f xml:space="preserve"> SUM( EJ$4:EJ120, -EJ120 )</f>
        <v>32.4</v>
      </c>
      <c r="EJ120" s="194">
        <v>0</v>
      </c>
      <c r="EK120" s="194">
        <f xml:space="preserve"> SUM( EL$4:EL120, -EL120 )</f>
        <v>0</v>
      </c>
      <c r="EL120" s="194">
        <v>0</v>
      </c>
      <c r="EM120" s="194">
        <f xml:space="preserve"> SUM( EN$4:EN120, -EN120 )</f>
        <v>0</v>
      </c>
      <c r="EN120" s="194">
        <v>0</v>
      </c>
      <c r="EO120" s="194">
        <f xml:space="preserve"> SUM( EP$4:EP120, -EP120 )</f>
        <v>0</v>
      </c>
      <c r="EP120" s="194">
        <v>0</v>
      </c>
      <c r="EQ120" s="194">
        <f xml:space="preserve"> SUM( ER$4:ER120, -ER120 )</f>
        <v>24</v>
      </c>
      <c r="ER120" s="194">
        <v>0</v>
      </c>
      <c r="ES120" s="194">
        <f xml:space="preserve"> SUM( ET$4:ET120, -ET120 )</f>
        <v>0</v>
      </c>
      <c r="ET120" s="194">
        <v>0</v>
      </c>
      <c r="EU120" s="194">
        <f xml:space="preserve"> SUM( EV$4:EV120, -EV120 )</f>
        <v>10</v>
      </c>
      <c r="EV120" s="194">
        <v>0</v>
      </c>
      <c r="EW120" s="194">
        <f xml:space="preserve"> SUM( EX$4:EX120, -EX120 )</f>
        <v>6</v>
      </c>
      <c r="EX120" s="194">
        <v>0</v>
      </c>
      <c r="EZ120">
        <f t="shared" si="312"/>
        <v>0</v>
      </c>
      <c r="FB120" s="237">
        <f xml:space="preserve"> SUM( FC$4:FC120, -FC120 )</f>
        <v>4</v>
      </c>
      <c r="FC120" s="237">
        <v>0</v>
      </c>
      <c r="FD120" s="237">
        <f xml:space="preserve"> SUM( FE$4:FE120, -FE120 )</f>
        <v>1</v>
      </c>
      <c r="FE120" s="237">
        <v>0</v>
      </c>
      <c r="FF120">
        <f t="shared" si="288"/>
        <v>0</v>
      </c>
    </row>
    <row r="121" spans="1:162">
      <c r="K121" s="51"/>
      <c r="L121" s="51"/>
      <c r="O121" s="21"/>
      <c r="S121" s="223"/>
      <c r="Z121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21" s="160" t="str">
        <f t="shared" si="536"/>
        <v/>
      </c>
      <c r="AB121" s="161" t="str">
        <f t="shared" si="546"/>
        <v/>
      </c>
      <c r="AC121" s="160" t="str">
        <f t="shared" si="282"/>
        <v xml:space="preserve">                               </v>
      </c>
      <c r="AD121" s="160" t="str">
        <f t="shared" si="289"/>
        <v xml:space="preserve">            </v>
      </c>
      <c r="AE121" s="162" t="str">
        <f t="shared" si="543"/>
        <v/>
      </c>
      <c r="AF121" s="160" t="str">
        <f t="shared" si="290"/>
        <v xml:space="preserve">            </v>
      </c>
      <c r="AG121" s="161" t="str">
        <f t="shared" si="544"/>
        <v/>
      </c>
      <c r="AH121" s="160" t="str">
        <f t="shared" si="327"/>
        <v xml:space="preserve">            </v>
      </c>
      <c r="AI121" s="163" t="str">
        <f t="shared" si="545"/>
        <v/>
      </c>
      <c r="AJ121" s="160" t="str">
        <f t="shared" si="283"/>
        <v xml:space="preserve">      </v>
      </c>
      <c r="AK121" s="163" t="str">
        <f t="shared" si="287"/>
        <v/>
      </c>
      <c r="AL121" s="163"/>
      <c r="AM121" s="153"/>
      <c r="AN121" s="153"/>
      <c r="AO121" s="153"/>
      <c r="AP121" s="153"/>
      <c r="DL121"/>
      <c r="DQ121" s="44"/>
      <c r="DW121" s="194">
        <f xml:space="preserve"> SUM( DX$4:DX121, -DX121 )</f>
        <v>0</v>
      </c>
      <c r="DX121" s="194">
        <v>0</v>
      </c>
      <c r="DY121" s="194">
        <f xml:space="preserve"> SUM( DZ$4:DZ121, -DZ121 )</f>
        <v>13</v>
      </c>
      <c r="DZ121" s="194">
        <v>0</v>
      </c>
      <c r="EA121" s="194">
        <f xml:space="preserve"> SUM( EB$4:EB121, -EB121 )</f>
        <v>12</v>
      </c>
      <c r="EB121" s="194">
        <v>0</v>
      </c>
      <c r="EC121" s="194">
        <f xml:space="preserve"> SUM( ED$4:ED121, -ED121 )</f>
        <v>0</v>
      </c>
      <c r="ED121" s="194">
        <v>0</v>
      </c>
      <c r="EE121" s="194">
        <f xml:space="preserve"> SUM( EF$4:EF121, -EF121 )</f>
        <v>2.6</v>
      </c>
      <c r="EF121" s="194">
        <v>0</v>
      </c>
      <c r="EG121" s="194">
        <f xml:space="preserve"> SUM( EH$4:EH121, -EH121 )</f>
        <v>0</v>
      </c>
      <c r="EH121" s="194">
        <v>0</v>
      </c>
      <c r="EI121" s="194">
        <f xml:space="preserve"> SUM( EJ$4:EJ121, -EJ121 )</f>
        <v>32.4</v>
      </c>
      <c r="EJ121" s="194">
        <v>0</v>
      </c>
      <c r="EK121" s="194">
        <f xml:space="preserve"> SUM( EL$4:EL121, -EL121 )</f>
        <v>0</v>
      </c>
      <c r="EL121" s="194">
        <v>0</v>
      </c>
      <c r="EM121" s="194">
        <f xml:space="preserve"> SUM( EN$4:EN121, -EN121 )</f>
        <v>0</v>
      </c>
      <c r="EN121" s="194">
        <v>0</v>
      </c>
      <c r="EO121" s="194">
        <f xml:space="preserve"> SUM( EP$4:EP121, -EP121 )</f>
        <v>0</v>
      </c>
      <c r="EP121" s="194">
        <v>0</v>
      </c>
      <c r="EQ121" s="194">
        <f xml:space="preserve"> SUM( ER$4:ER121, -ER121 )</f>
        <v>24</v>
      </c>
      <c r="ER121" s="194">
        <v>0</v>
      </c>
      <c r="ES121" s="194">
        <f xml:space="preserve"> SUM( ET$4:ET121, -ET121 )</f>
        <v>0</v>
      </c>
      <c r="ET121" s="194">
        <v>0</v>
      </c>
      <c r="EU121" s="194">
        <f xml:space="preserve"> SUM( EV$4:EV121, -EV121 )</f>
        <v>10</v>
      </c>
      <c r="EV121" s="194">
        <v>0</v>
      </c>
      <c r="EW121" s="194">
        <f xml:space="preserve"> SUM( EX$4:EX121, -EX121 )</f>
        <v>6</v>
      </c>
      <c r="EX121" s="194">
        <v>0</v>
      </c>
      <c r="EZ121">
        <f t="shared" si="312"/>
        <v>0</v>
      </c>
      <c r="FB121" s="237">
        <f xml:space="preserve"> SUM( FC$4:FC121, -FC121 )</f>
        <v>4</v>
      </c>
      <c r="FC121" s="237">
        <v>0</v>
      </c>
      <c r="FD121" s="237">
        <f xml:space="preserve"> SUM( FE$4:FE121, -FE121 )</f>
        <v>1</v>
      </c>
      <c r="FE121" s="237">
        <v>0</v>
      </c>
      <c r="FF121">
        <f t="shared" si="288"/>
        <v>0</v>
      </c>
    </row>
    <row r="122" spans="1:162">
      <c r="K122" s="51"/>
      <c r="L122" s="51"/>
      <c r="O122" s="21"/>
      <c r="S122" s="223"/>
      <c r="Z122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22" s="160" t="str">
        <f t="shared" si="536"/>
        <v/>
      </c>
      <c r="AB122" s="161" t="str">
        <f t="shared" si="546"/>
        <v/>
      </c>
      <c r="AC122" s="160" t="str">
        <f t="shared" si="282"/>
        <v xml:space="preserve">                               </v>
      </c>
      <c r="AD122" s="160" t="str">
        <f t="shared" si="289"/>
        <v xml:space="preserve">            </v>
      </c>
      <c r="AE122" s="162" t="str">
        <f t="shared" si="543"/>
        <v/>
      </c>
      <c r="AF122" s="160" t="str">
        <f t="shared" si="290"/>
        <v xml:space="preserve">            </v>
      </c>
      <c r="AG122" s="161" t="str">
        <f t="shared" si="544"/>
        <v/>
      </c>
      <c r="AH122" s="160" t="str">
        <f t="shared" si="327"/>
        <v xml:space="preserve">            </v>
      </c>
      <c r="AI122" s="163" t="str">
        <f t="shared" si="545"/>
        <v/>
      </c>
      <c r="AJ122" s="160" t="str">
        <f t="shared" si="283"/>
        <v xml:space="preserve">      </v>
      </c>
      <c r="AK122" s="163" t="str">
        <f t="shared" si="287"/>
        <v/>
      </c>
      <c r="AL122" s="163"/>
      <c r="AM122" s="153"/>
      <c r="AN122" s="153"/>
      <c r="AO122" s="153"/>
      <c r="AP122" s="153"/>
      <c r="DL122"/>
      <c r="DQ122" s="44"/>
      <c r="DW122" s="194">
        <f xml:space="preserve"> SUM( DX$4:DX122, -DX122 )</f>
        <v>0</v>
      </c>
      <c r="DX122" s="194">
        <v>0</v>
      </c>
      <c r="DY122" s="194">
        <f xml:space="preserve"> SUM( DZ$4:DZ122, -DZ122 )</f>
        <v>13</v>
      </c>
      <c r="DZ122" s="194">
        <v>0</v>
      </c>
      <c r="EA122" s="194">
        <f xml:space="preserve"> SUM( EB$4:EB122, -EB122 )</f>
        <v>12</v>
      </c>
      <c r="EB122" s="194">
        <v>0</v>
      </c>
      <c r="EC122" s="194">
        <f xml:space="preserve"> SUM( ED$4:ED122, -ED122 )</f>
        <v>0</v>
      </c>
      <c r="ED122" s="194">
        <v>0</v>
      </c>
      <c r="EE122" s="194">
        <f xml:space="preserve"> SUM( EF$4:EF122, -EF122 )</f>
        <v>2.6</v>
      </c>
      <c r="EF122" s="194">
        <v>0</v>
      </c>
      <c r="EG122" s="194">
        <f xml:space="preserve"> SUM( EH$4:EH122, -EH122 )</f>
        <v>0</v>
      </c>
      <c r="EH122" s="194">
        <v>0</v>
      </c>
      <c r="EI122" s="194">
        <f xml:space="preserve"> SUM( EJ$4:EJ122, -EJ122 )</f>
        <v>32.4</v>
      </c>
      <c r="EJ122" s="194">
        <v>0</v>
      </c>
      <c r="EK122" s="194">
        <f xml:space="preserve"> SUM( EL$4:EL122, -EL122 )</f>
        <v>0</v>
      </c>
      <c r="EL122" s="194">
        <v>0</v>
      </c>
      <c r="EM122" s="194">
        <f xml:space="preserve"> SUM( EN$4:EN122, -EN122 )</f>
        <v>0</v>
      </c>
      <c r="EN122" s="194">
        <v>0</v>
      </c>
      <c r="EO122" s="194">
        <f xml:space="preserve"> SUM( EP$4:EP122, -EP122 )</f>
        <v>0</v>
      </c>
      <c r="EP122" s="194">
        <v>0</v>
      </c>
      <c r="EQ122" s="194">
        <f xml:space="preserve"> SUM( ER$4:ER122, -ER122 )</f>
        <v>24</v>
      </c>
      <c r="ER122" s="194">
        <v>0</v>
      </c>
      <c r="ES122" s="194">
        <f xml:space="preserve"> SUM( ET$4:ET122, -ET122 )</f>
        <v>0</v>
      </c>
      <c r="ET122" s="194">
        <v>0</v>
      </c>
      <c r="EU122" s="194">
        <f xml:space="preserve"> SUM( EV$4:EV122, -EV122 )</f>
        <v>10</v>
      </c>
      <c r="EV122" s="194">
        <v>0</v>
      </c>
      <c r="EW122" s="194">
        <f xml:space="preserve"> SUM( EX$4:EX122, -EX122 )</f>
        <v>6</v>
      </c>
      <c r="EX122" s="194">
        <v>0</v>
      </c>
      <c r="EZ122">
        <f t="shared" si="312"/>
        <v>0</v>
      </c>
      <c r="FB122" s="237">
        <f xml:space="preserve"> SUM( FC$4:FC122, -FC122 )</f>
        <v>4</v>
      </c>
      <c r="FC122" s="237">
        <v>0</v>
      </c>
      <c r="FD122" s="237">
        <f xml:space="preserve"> SUM( FE$4:FE122, -FE122 )</f>
        <v>1</v>
      </c>
      <c r="FE122" s="237">
        <v>0</v>
      </c>
      <c r="FF122">
        <f t="shared" si="288"/>
        <v>0</v>
      </c>
    </row>
    <row r="123" spans="1:162">
      <c r="K123" s="51"/>
      <c r="L123" s="51"/>
      <c r="O123" s="3"/>
      <c r="S123" s="223"/>
      <c r="Z123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                                   </v>
      </c>
      <c r="AA123" s="160" t="str">
        <f t="shared" si="536"/>
        <v/>
      </c>
      <c r="AB123" s="161" t="str">
        <f t="shared" si="546"/>
        <v/>
      </c>
      <c r="AC123" s="160" t="str">
        <f t="shared" si="282"/>
        <v xml:space="preserve">                               </v>
      </c>
      <c r="AD123" s="160" t="str">
        <f t="shared" si="289"/>
        <v xml:space="preserve">            </v>
      </c>
      <c r="AE123" s="162" t="str">
        <f t="shared" si="543"/>
        <v/>
      </c>
      <c r="AF123" s="160" t="str">
        <f t="shared" si="290"/>
        <v xml:space="preserve">            </v>
      </c>
      <c r="AG123" s="161" t="str">
        <f t="shared" si="544"/>
        <v/>
      </c>
      <c r="AH123" s="160" t="str">
        <f t="shared" si="327"/>
        <v xml:space="preserve">            </v>
      </c>
      <c r="AI123" s="163" t="str">
        <f t="shared" si="545"/>
        <v/>
      </c>
      <c r="AJ123" s="160" t="str">
        <f t="shared" si="283"/>
        <v xml:space="preserve">      </v>
      </c>
      <c r="AK123" s="163" t="str">
        <f t="shared" si="287"/>
        <v/>
      </c>
      <c r="AL123" s="163"/>
      <c r="AM123" s="153"/>
      <c r="AN123" s="153"/>
      <c r="AO123" s="153"/>
      <c r="AP123" s="153"/>
      <c r="DL123"/>
      <c r="DQ123" s="44"/>
      <c r="DW123" s="194">
        <f xml:space="preserve"> SUM( DX$4:DX123, -DX123 )</f>
        <v>0</v>
      </c>
      <c r="DX123" s="194">
        <v>0</v>
      </c>
      <c r="DY123" s="194">
        <f xml:space="preserve"> SUM( DZ$4:DZ123, -DZ123 )</f>
        <v>13</v>
      </c>
      <c r="DZ123" s="194">
        <v>0</v>
      </c>
      <c r="EA123" s="194">
        <f xml:space="preserve"> SUM( EB$4:EB123, -EB123 )</f>
        <v>12</v>
      </c>
      <c r="EB123" s="194">
        <v>0</v>
      </c>
      <c r="EC123" s="194">
        <f xml:space="preserve"> SUM( ED$4:ED123, -ED123 )</f>
        <v>0</v>
      </c>
      <c r="ED123" s="194">
        <v>0</v>
      </c>
      <c r="EE123" s="194">
        <f xml:space="preserve"> SUM( EF$4:EF123, -EF123 )</f>
        <v>2.6</v>
      </c>
      <c r="EF123" s="194">
        <v>0</v>
      </c>
      <c r="EG123" s="194">
        <f xml:space="preserve"> SUM( EH$4:EH123, -EH123 )</f>
        <v>0</v>
      </c>
      <c r="EH123" s="194">
        <v>0</v>
      </c>
      <c r="EI123" s="194">
        <f xml:space="preserve"> SUM( EJ$4:EJ123, -EJ123 )</f>
        <v>32.4</v>
      </c>
      <c r="EJ123" s="194">
        <v>0</v>
      </c>
      <c r="EK123" s="194">
        <f xml:space="preserve"> SUM( EL$4:EL123, -EL123 )</f>
        <v>0</v>
      </c>
      <c r="EL123" s="194">
        <v>0</v>
      </c>
      <c r="EM123" s="194">
        <f xml:space="preserve"> SUM( EN$4:EN123, -EN123 )</f>
        <v>0</v>
      </c>
      <c r="EN123" s="194">
        <v>0</v>
      </c>
      <c r="EO123" s="194">
        <f xml:space="preserve"> SUM( EP$4:EP123, -EP123 )</f>
        <v>0</v>
      </c>
      <c r="EP123" s="194">
        <v>0</v>
      </c>
      <c r="EQ123" s="194">
        <f xml:space="preserve"> SUM( ER$4:ER123, -ER123 )</f>
        <v>24</v>
      </c>
      <c r="ER123" s="194">
        <v>0</v>
      </c>
      <c r="ES123" s="194">
        <f xml:space="preserve"> SUM( ET$4:ET123, -ET123 )</f>
        <v>0</v>
      </c>
      <c r="ET123" s="194">
        <v>0</v>
      </c>
      <c r="EU123" s="194">
        <f xml:space="preserve"> SUM( EV$4:EV123, -EV123 )</f>
        <v>10</v>
      </c>
      <c r="EV123" s="194">
        <v>0</v>
      </c>
      <c r="EW123" s="194">
        <f xml:space="preserve"> SUM( EX$4:EX123, -EX123 )</f>
        <v>6</v>
      </c>
      <c r="EX123" s="194">
        <v>0</v>
      </c>
      <c r="EZ123">
        <f t="shared" si="312"/>
        <v>0</v>
      </c>
      <c r="FB123" s="237">
        <f xml:space="preserve"> SUM( FC$4:FC123, -FC123 )</f>
        <v>4</v>
      </c>
      <c r="FC123" s="237">
        <v>0</v>
      </c>
      <c r="FD123" s="237">
        <f xml:space="preserve"> SUM( FE$4:FE123, -FE123 )</f>
        <v>1</v>
      </c>
      <c r="FE123" s="237">
        <v>0</v>
      </c>
      <c r="FF123">
        <f t="shared" si="288"/>
        <v>0</v>
      </c>
    </row>
    <row r="124" spans="1:162">
      <c r="J124" s="79" t="s">
        <v>366</v>
      </c>
      <c r="K124" s="47"/>
      <c r="L124" s="76" t="s">
        <v>1086</v>
      </c>
      <c r="O124" s="3"/>
      <c r="Z124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</v>
      </c>
      <c r="AA124" s="160" t="str">
        <f t="shared" si="536"/>
        <v xml:space="preserve">
                                      Crew     Consoles    Salaries      </v>
      </c>
      <c r="AB124" s="161" t="str">
        <f t="shared" si="546"/>
        <v/>
      </c>
      <c r="AC124" s="160" t="str">
        <f t="shared" si="282"/>
        <v xml:space="preserve">                               </v>
      </c>
      <c r="AD124" s="160" t="str">
        <f t="shared" si="289"/>
        <v xml:space="preserve">       </v>
      </c>
      <c r="AE124" s="162" t="str">
        <f xml:space="preserve"> CONCATENATE( C125 &amp; " " )</f>
        <v xml:space="preserve">Crew </v>
      </c>
      <c r="AF124" s="160" t="str">
        <f t="shared" si="290"/>
        <v xml:space="preserve">    </v>
      </c>
      <c r="AG124" s="161" t="str">
        <f xml:space="preserve"> CONCATENATE( J124 )</f>
        <v>Consoles</v>
      </c>
      <c r="AH124" s="160" t="str">
        <f t="shared" si="327"/>
        <v xml:space="preserve">    </v>
      </c>
      <c r="AI124" s="163" t="str">
        <f t="shared" si="545"/>
        <v>Salaries</v>
      </c>
      <c r="AJ124" s="160" t="str">
        <f t="shared" si="283"/>
        <v xml:space="preserve">      </v>
      </c>
      <c r="AK124" s="163"/>
      <c r="AL124" s="163"/>
      <c r="AM124" s="153"/>
      <c r="AN124" s="153"/>
      <c r="AO124" s="153"/>
      <c r="AP124" s="153"/>
      <c r="DL124"/>
      <c r="DQ124" s="44"/>
      <c r="DW124" s="194">
        <f xml:space="preserve"> SUM( DX$4:DX124, -DX124 )</f>
        <v>0</v>
      </c>
      <c r="DX124" s="194">
        <v>0</v>
      </c>
      <c r="DY124" s="194">
        <f xml:space="preserve"> SUM( DZ$4:DZ124, -DZ124 )</f>
        <v>13</v>
      </c>
      <c r="DZ124" s="194">
        <v>0</v>
      </c>
      <c r="EA124" s="194">
        <f xml:space="preserve"> SUM( EB$4:EB124, -EB124 )</f>
        <v>12</v>
      </c>
      <c r="EB124" s="194">
        <v>0</v>
      </c>
      <c r="EC124" s="194">
        <f xml:space="preserve"> SUM( ED$4:ED124, -ED124 )</f>
        <v>0</v>
      </c>
      <c r="ED124" s="194">
        <v>0</v>
      </c>
      <c r="EE124" s="194">
        <f xml:space="preserve"> SUM( EF$4:EF124, -EF124 )</f>
        <v>2.6</v>
      </c>
      <c r="EF124" s="194">
        <v>0</v>
      </c>
      <c r="EG124" s="194">
        <f xml:space="preserve"> SUM( EH$4:EH124, -EH124 )</f>
        <v>0</v>
      </c>
      <c r="EH124" s="194">
        <v>0</v>
      </c>
      <c r="EI124" s="194">
        <f xml:space="preserve"> SUM( EJ$4:EJ124, -EJ124 )</f>
        <v>32.4</v>
      </c>
      <c r="EJ124" s="194">
        <v>0</v>
      </c>
      <c r="EK124" s="194">
        <f xml:space="preserve"> SUM( EL$4:EL124, -EL124 )</f>
        <v>0</v>
      </c>
      <c r="EL124" s="194">
        <v>0</v>
      </c>
      <c r="EM124" s="194">
        <f xml:space="preserve"> SUM( EN$4:EN124, -EN124 )</f>
        <v>0</v>
      </c>
      <c r="EN124" s="194">
        <v>0</v>
      </c>
      <c r="EO124" s="194">
        <f xml:space="preserve"> SUM( EP$4:EP124, -EP124 )</f>
        <v>0</v>
      </c>
      <c r="EP124" s="194">
        <v>0</v>
      </c>
      <c r="EQ124" s="194">
        <f xml:space="preserve"> SUM( ER$4:ER124, -ER124 )</f>
        <v>24</v>
      </c>
      <c r="ER124" s="194">
        <v>0</v>
      </c>
      <c r="ES124" s="194">
        <f xml:space="preserve"> SUM( ET$4:ET124, -ET124 )</f>
        <v>0</v>
      </c>
      <c r="ET124" s="194">
        <v>0</v>
      </c>
      <c r="EU124" s="194">
        <f xml:space="preserve"> SUM( EV$4:EV124, -EV124 )</f>
        <v>10</v>
      </c>
      <c r="EV124" s="194">
        <v>0</v>
      </c>
      <c r="EW124" s="194">
        <f xml:space="preserve"> SUM( EX$4:EX124, -EX124 )</f>
        <v>6</v>
      </c>
      <c r="EX124" s="194">
        <v>0</v>
      </c>
      <c r="EZ124">
        <f t="shared" si="312"/>
        <v>0</v>
      </c>
      <c r="FB124" s="237">
        <f xml:space="preserve"> SUM( FC$4:FC124, -FC124 )</f>
        <v>4</v>
      </c>
      <c r="FC124" s="237">
        <v>0</v>
      </c>
      <c r="FD124" s="237">
        <f xml:space="preserve"> SUM( FE$4:FE124, -FE124 )</f>
        <v>1</v>
      </c>
      <c r="FE124" s="237">
        <v>0</v>
      </c>
      <c r="FF124">
        <f t="shared" si="288"/>
        <v>0</v>
      </c>
    </row>
    <row r="125" spans="1:162">
      <c r="A125" s="94" t="s">
        <v>807</v>
      </c>
      <c r="C125" s="54" t="s">
        <v>194</v>
      </c>
      <c r="G125" s="17">
        <f>ROUNDUP(SUM(G126:G143),0)</f>
        <v>3</v>
      </c>
      <c r="J125" s="195">
        <f xml:space="preserve"> MAX(  SUM( J126:J144 ),  ROUNDUP( 0.01 + (AO2) * ( G45 - 1 ) / VLOOKUP( $C$46, Tables!$A$336:$B$339, 2, 0 ),  0 )  )</f>
        <v>6</v>
      </c>
      <c r="L125" s="45">
        <f>SUM(L126:L144)</f>
        <v>15000</v>
      </c>
      <c r="Z125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</v>
      </c>
      <c r="AA125" s="160" t="str">
        <f xml:space="preserve"> IF( OR(G125&lt;&gt;0,H125&lt;&gt;0,J125&lt;&gt;0,L125&lt;&gt;0), CONCATENATE( newline &amp; AB125 &amp; AC125 &amp; AD125 &amp; AE125 &amp; AF125 &amp; AG125 &amp; AH125 &amp; AI125 &amp; AJ125 &amp; AK125 ), "" )</f>
        <v xml:space="preserve">
Crew                                 3                6       15000      </v>
      </c>
      <c r="AB125" s="161" t="str">
        <f xml:space="preserve"> CONCATENATE( C125 )</f>
        <v>Crew</v>
      </c>
      <c r="AC125" s="160" t="str">
        <f t="shared" si="282"/>
        <v xml:space="preserve">                           </v>
      </c>
      <c r="AD125" s="160" t="str">
        <f xml:space="preserve"> CONCATENATE( REPT(" ",MAX(0,12-LEN(AE125))) )</f>
        <v xml:space="preserve">      </v>
      </c>
      <c r="AE125" s="162" t="str">
        <f xml:space="preserve"> CONCATENATE( G125 &amp; REPT(" ",MAX(0,5-LEN(H125))) &amp; H125 )</f>
        <v xml:space="preserve">3     </v>
      </c>
      <c r="AF125" s="160" t="str">
        <f t="shared" si="290"/>
        <v xml:space="preserve">           </v>
      </c>
      <c r="AG125" s="161" t="str">
        <f xml:space="preserve"> TEXT( J125,"0;;" )</f>
        <v>6</v>
      </c>
      <c r="AH125" s="160" t="str">
        <f t="shared" si="327"/>
        <v xml:space="preserve">       </v>
      </c>
      <c r="AI125" s="163" t="str">
        <f t="shared" si="545"/>
        <v>15000</v>
      </c>
      <c r="AJ125" s="160" t="str">
        <f t="shared" si="283"/>
        <v xml:space="preserve">      </v>
      </c>
      <c r="AK125" s="163"/>
      <c r="AL125" s="163"/>
      <c r="AM125" s="153"/>
      <c r="AN125" s="153"/>
      <c r="AO125" s="153"/>
      <c r="AP125" s="153"/>
      <c r="DL125"/>
      <c r="DQ125" s="44"/>
      <c r="DW125" s="194">
        <f xml:space="preserve"> SUM( DX$4:DX125, -DX125 )</f>
        <v>0</v>
      </c>
      <c r="DX125" s="194">
        <v>0</v>
      </c>
      <c r="DY125" s="194">
        <f xml:space="preserve"> SUM( DZ$4:DZ125, -DZ125 )</f>
        <v>13</v>
      </c>
      <c r="DZ125" s="194">
        <v>0</v>
      </c>
      <c r="EA125" s="194">
        <f xml:space="preserve"> SUM( EB$4:EB125, -EB125 )</f>
        <v>12</v>
      </c>
      <c r="EB125" s="194">
        <v>0</v>
      </c>
      <c r="EC125" s="194">
        <f xml:space="preserve"> SUM( ED$4:ED125, -ED125 )</f>
        <v>0</v>
      </c>
      <c r="ED125" s="194">
        <v>0</v>
      </c>
      <c r="EE125" s="194">
        <f xml:space="preserve"> SUM( EF$4:EF125, -EF125 )</f>
        <v>2.6</v>
      </c>
      <c r="EF125" s="194">
        <v>0</v>
      </c>
      <c r="EG125" s="194">
        <f xml:space="preserve"> SUM( EH$4:EH125, -EH125 )</f>
        <v>0</v>
      </c>
      <c r="EH125" s="194">
        <v>0</v>
      </c>
      <c r="EI125" s="194">
        <f xml:space="preserve"> SUM( EJ$4:EJ125, -EJ125 )</f>
        <v>32.4</v>
      </c>
      <c r="EJ125" s="194">
        <v>0</v>
      </c>
      <c r="EK125" s="194">
        <f xml:space="preserve"> SUM( EL$4:EL125, -EL125 )</f>
        <v>0</v>
      </c>
      <c r="EL125" s="194">
        <v>0</v>
      </c>
      <c r="EM125" s="194">
        <f xml:space="preserve"> SUM( EN$4:EN125, -EN125 )</f>
        <v>0</v>
      </c>
      <c r="EN125" s="194">
        <v>0</v>
      </c>
      <c r="EO125" s="194">
        <f xml:space="preserve"> SUM( EP$4:EP125, -EP125 )</f>
        <v>0</v>
      </c>
      <c r="EP125" s="194">
        <v>0</v>
      </c>
      <c r="EQ125" s="194">
        <f xml:space="preserve"> SUM( ER$4:ER125, -ER125 )</f>
        <v>24</v>
      </c>
      <c r="ER125" s="194">
        <f t="shared" ref="ER125" si="547" xml:space="preserve"> $K125</f>
        <v>0</v>
      </c>
      <c r="ES125" s="194">
        <f xml:space="preserve"> SUM( ET$4:ET125, -ET125 )</f>
        <v>0</v>
      </c>
      <c r="ET125" s="194">
        <v>0</v>
      </c>
      <c r="EU125" s="194">
        <f xml:space="preserve"> SUM( EV$4:EV125, -EV125 )</f>
        <v>10</v>
      </c>
      <c r="EV125" s="194">
        <v>0</v>
      </c>
      <c r="EW125" s="194">
        <f xml:space="preserve"> SUM( EX$4:EX125, -EX125 )</f>
        <v>6</v>
      </c>
      <c r="EX125" s="194">
        <v>0</v>
      </c>
      <c r="EZ125" t="s">
        <v>1024</v>
      </c>
      <c r="FA125" s="194">
        <f xml:space="preserve"> SUM( DX125:EX125 )</f>
        <v>100</v>
      </c>
      <c r="FB125" s="237">
        <f xml:space="preserve"> SUM( FC$4:FC125, -FC125 )</f>
        <v>4</v>
      </c>
      <c r="FC125" s="237">
        <v>0</v>
      </c>
      <c r="FD125" s="237">
        <f xml:space="preserve"> SUM( FE$4:FE125, -FE125 )</f>
        <v>1</v>
      </c>
      <c r="FE125" s="237">
        <v>0</v>
      </c>
      <c r="FF125" t="str">
        <f t="shared" si="288"/>
        <v>Error</v>
      </c>
    </row>
    <row r="126" spans="1:162">
      <c r="C126" t="s">
        <v>63</v>
      </c>
      <c r="G126">
        <f>ROUNDDOWN(  MAX( H126, SUM(G127:G143)/(10) ), 0 )</f>
        <v>0</v>
      </c>
      <c r="H126" s="16">
        <v>0</v>
      </c>
      <c r="J126" s="106">
        <f>G126</f>
        <v>0</v>
      </c>
      <c r="L126" s="45">
        <f>G126*5000</f>
        <v>0</v>
      </c>
      <c r="Z126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</v>
      </c>
      <c r="AA126" s="160" t="str">
        <f t="shared" ref="AA126:AA143" si="548" xml:space="preserve"> IF( OR(G126&lt;&gt;0,H126&lt;&gt;0,J126&lt;&gt;0,L126&lt;&gt;0), CONCATENATE( newline &amp; AB126 &amp; AC126 &amp; AD126 &amp; AE126 &amp; AF126 &amp; AG126 &amp; AH126 &amp; AI126 &amp; AJ126 &amp; AK126 ), "" )</f>
        <v/>
      </c>
      <c r="AB126" s="161" t="str">
        <f t="shared" ref="AB126:AB143" si="549" xml:space="preserve"> CONCATENATE( C126 )</f>
        <v>Command</v>
      </c>
      <c r="AC126" s="160" t="str">
        <f t="shared" si="282"/>
        <v xml:space="preserve">                        </v>
      </c>
      <c r="AD126" s="160" t="str">
        <f t="shared" si="289"/>
        <v xml:space="preserve">      </v>
      </c>
      <c r="AE126" s="162" t="str">
        <f t="shared" ref="AE126:AE143" si="550" xml:space="preserve"> CONCATENATE( G126 &amp; REPT(" ",MAX(0,5-LEN(H126))) &amp; H126 )</f>
        <v>0    0</v>
      </c>
      <c r="AF126" s="160" t="str">
        <f t="shared" si="290"/>
        <v xml:space="preserve">            </v>
      </c>
      <c r="AG126" s="161" t="str">
        <f t="shared" ref="AG126:AG143" si="551" xml:space="preserve"> TEXT( J126,"0;;" )</f>
        <v/>
      </c>
      <c r="AH126" s="160" t="str">
        <f t="shared" si="327"/>
        <v xml:space="preserve">           </v>
      </c>
      <c r="AI126" s="163" t="str">
        <f t="shared" si="545"/>
        <v>0</v>
      </c>
      <c r="AJ126" s="160" t="str">
        <f t="shared" si="283"/>
        <v xml:space="preserve">      </v>
      </c>
      <c r="AK126" s="163"/>
      <c r="AL126" s="163"/>
      <c r="AM126" s="153"/>
      <c r="AN126" s="153"/>
      <c r="AO126" s="153"/>
      <c r="AP126" s="153"/>
      <c r="DL126"/>
      <c r="DQ126" s="44"/>
    </row>
    <row r="127" spans="1:162">
      <c r="C127" t="s">
        <v>318</v>
      </c>
      <c r="G127">
        <f>ROUNDUP(SUM(H128:H130),0)</f>
        <v>2</v>
      </c>
      <c r="J127" s="106">
        <f xml:space="preserve"> ROUNDUP( G141/4, 0 )</f>
        <v>0</v>
      </c>
      <c r="L127" s="45"/>
      <c r="Z127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</v>
      </c>
      <c r="AA127" s="160" t="str">
        <f t="shared" si="548"/>
        <v xml:space="preserve">
Bridge                               2                                   </v>
      </c>
      <c r="AB127" s="161" t="str">
        <f t="shared" si="549"/>
        <v>Bridge</v>
      </c>
      <c r="AC127" s="160" t="str">
        <f t="shared" si="282"/>
        <v xml:space="preserve">                         </v>
      </c>
      <c r="AD127" s="160" t="str">
        <f t="shared" si="289"/>
        <v xml:space="preserve">      </v>
      </c>
      <c r="AE127" s="162" t="str">
        <f t="shared" si="550"/>
        <v xml:space="preserve">2     </v>
      </c>
      <c r="AF127" s="160" t="str">
        <f t="shared" si="290"/>
        <v xml:space="preserve">            </v>
      </c>
      <c r="AG127" s="161" t="str">
        <f t="shared" si="551"/>
        <v/>
      </c>
      <c r="AH127" s="160" t="str">
        <f t="shared" si="327"/>
        <v xml:space="preserve">            </v>
      </c>
      <c r="AI127" s="163" t="str">
        <f t="shared" si="545"/>
        <v/>
      </c>
      <c r="AJ127" s="160" t="str">
        <f t="shared" si="283"/>
        <v xml:space="preserve">      </v>
      </c>
      <c r="AK127" s="163"/>
      <c r="AL127" s="163"/>
      <c r="AM127" s="153"/>
      <c r="AN127" s="153"/>
      <c r="AO127" s="153"/>
      <c r="AP127" s="153"/>
      <c r="DL127"/>
      <c r="DQ127" s="44"/>
    </row>
    <row r="128" spans="1:162">
      <c r="C128" t="s">
        <v>906</v>
      </c>
      <c r="H128" s="16">
        <f xml:space="preserve"> 1 + 1*(Military&gt;0) * (Hull&gt;=100)</f>
        <v>1</v>
      </c>
      <c r="J128" s="106">
        <f xml:space="preserve"> MIN(2,H128)</f>
        <v>1</v>
      </c>
      <c r="L128" s="45">
        <f>H128*6000</f>
        <v>6000</v>
      </c>
      <c r="Z128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</v>
      </c>
      <c r="AA128" s="160" t="str">
        <f t="shared" si="548"/>
        <v xml:space="preserve">
    Pilot                                 1           1        6000      </v>
      </c>
      <c r="AB128" s="161" t="str">
        <f t="shared" si="549"/>
        <v xml:space="preserve">    Pilot</v>
      </c>
      <c r="AC128" s="160" t="str">
        <f t="shared" si="282"/>
        <v xml:space="preserve">                      </v>
      </c>
      <c r="AD128" s="160" t="str">
        <f t="shared" si="289"/>
        <v xml:space="preserve">       </v>
      </c>
      <c r="AE128" s="162" t="str">
        <f t="shared" si="550"/>
        <v xml:space="preserve">    1</v>
      </c>
      <c r="AF128" s="160" t="str">
        <f t="shared" si="290"/>
        <v xml:space="preserve">           </v>
      </c>
      <c r="AG128" s="161" t="str">
        <f t="shared" si="551"/>
        <v>1</v>
      </c>
      <c r="AH128" s="160" t="str">
        <f t="shared" si="327"/>
        <v xml:space="preserve">        </v>
      </c>
      <c r="AI128" s="163" t="str">
        <f t="shared" si="545"/>
        <v>6000</v>
      </c>
      <c r="AJ128" s="160" t="str">
        <f t="shared" si="283"/>
        <v xml:space="preserve">      </v>
      </c>
      <c r="AK128" s="163"/>
      <c r="AL128" s="163"/>
      <c r="AM128" s="153"/>
      <c r="AN128" s="153"/>
      <c r="AO128" s="153"/>
      <c r="AP128" s="153"/>
      <c r="DL128"/>
      <c r="DQ128" s="44"/>
    </row>
    <row r="129" spans="3:121">
      <c r="C129" t="s">
        <v>275</v>
      </c>
      <c r="H129" s="16">
        <f xml:space="preserve"> ( 1 + 1*(Military&gt;0) ) * (K30&gt;0)</f>
        <v>1</v>
      </c>
      <c r="J129" s="106">
        <f>MIN(1,H129)</f>
        <v>1</v>
      </c>
      <c r="L129" s="45">
        <f>H129*5000</f>
        <v>5000</v>
      </c>
      <c r="Z129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</v>
      </c>
      <c r="AA129" s="160" t="str">
        <f t="shared" si="548"/>
        <v xml:space="preserve">
    Astrogator                            1           1        5000      </v>
      </c>
      <c r="AB129" s="161" t="str">
        <f t="shared" si="549"/>
        <v xml:space="preserve">    Astrogator</v>
      </c>
      <c r="AC129" s="160" t="str">
        <f t="shared" si="282"/>
        <v xml:space="preserve">                 </v>
      </c>
      <c r="AD129" s="160" t="str">
        <f t="shared" si="289"/>
        <v xml:space="preserve">       </v>
      </c>
      <c r="AE129" s="162" t="str">
        <f t="shared" si="550"/>
        <v xml:space="preserve">    1</v>
      </c>
      <c r="AF129" s="160" t="str">
        <f t="shared" si="290"/>
        <v xml:space="preserve">           </v>
      </c>
      <c r="AG129" s="161" t="str">
        <f t="shared" si="551"/>
        <v>1</v>
      </c>
      <c r="AH129" s="160" t="str">
        <f t="shared" si="327"/>
        <v xml:space="preserve">        </v>
      </c>
      <c r="AI129" s="163" t="str">
        <f t="shared" si="545"/>
        <v>5000</v>
      </c>
      <c r="AJ129" s="160" t="str">
        <f t="shared" si="283"/>
        <v xml:space="preserve">      </v>
      </c>
      <c r="AK129" s="163"/>
      <c r="AL129" s="163"/>
      <c r="AM129" s="153"/>
      <c r="AN129" s="153"/>
      <c r="AO129" s="153"/>
      <c r="AP129" s="153"/>
      <c r="DL129"/>
      <c r="DQ129" s="44"/>
    </row>
    <row r="130" spans="3:121">
      <c r="C130" t="s">
        <v>104</v>
      </c>
      <c r="H130" s="16">
        <f xml:space="preserve"> ( 1 + 1*(Military&gt;0) ) * (Hull&gt;200) + 1*(Military&gt;1)</f>
        <v>0</v>
      </c>
      <c r="J130" s="106">
        <f xml:space="preserve"> MAX( 1*(Military&gt;0), H130, 1 )</f>
        <v>1</v>
      </c>
      <c r="L130" s="45">
        <f>H130*3000</f>
        <v>0</v>
      </c>
      <c r="Z130" s="160" t="str">
        <f t="shared" si="390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</v>
      </c>
      <c r="AA130" s="160" t="str">
        <f t="shared" si="548"/>
        <v xml:space="preserve">
    Sensor &amp; EW                           0           1           0      </v>
      </c>
      <c r="AB130" s="161" t="str">
        <f t="shared" si="549"/>
        <v xml:space="preserve">    Sensor &amp; EW</v>
      </c>
      <c r="AC130" s="160" t="str">
        <f t="shared" si="282"/>
        <v xml:space="preserve">                </v>
      </c>
      <c r="AD130" s="160" t="str">
        <f t="shared" si="289"/>
        <v xml:space="preserve">       </v>
      </c>
      <c r="AE130" s="162" t="str">
        <f t="shared" si="550"/>
        <v xml:space="preserve">    0</v>
      </c>
      <c r="AF130" s="160" t="str">
        <f t="shared" si="290"/>
        <v xml:space="preserve">           </v>
      </c>
      <c r="AG130" s="161" t="str">
        <f t="shared" si="551"/>
        <v>1</v>
      </c>
      <c r="AH130" s="160" t="str">
        <f t="shared" si="327"/>
        <v xml:space="preserve">           </v>
      </c>
      <c r="AI130" s="163" t="str">
        <f t="shared" si="545"/>
        <v>0</v>
      </c>
      <c r="AJ130" s="160" t="str">
        <f t="shared" si="283"/>
        <v xml:space="preserve">      </v>
      </c>
      <c r="AK130" s="163"/>
      <c r="AL130" s="163"/>
      <c r="AM130" s="153"/>
      <c r="AN130" s="153"/>
      <c r="AO130" s="153"/>
      <c r="AP130" s="153"/>
      <c r="DL130"/>
      <c r="DQ130" s="44"/>
    </row>
    <row r="131" spans="3:121">
      <c r="C131" t="s">
        <v>811</v>
      </c>
      <c r="G131">
        <f>ROUNDUP(SUM(H132:H133)/(1),0)</f>
        <v>1</v>
      </c>
      <c r="J131" s="106"/>
      <c r="L131" s="45">
        <f>IF( G131&gt;1, G131*(H132*4000+H133*1000)/(H132+H133), G131*4000 )</f>
        <v>4000</v>
      </c>
      <c r="Z131" s="160" t="str">
        <f t="shared" ref="Z131:Z144" si="552" xml:space="preserve"> CONCATENATE( INDEX($Z$1:$Z$144,ROW(Z131)-1),AA131 )</f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</v>
      </c>
      <c r="AA131" s="160" t="str">
        <f t="shared" si="548"/>
        <v xml:space="preserve">
Engineer                             1                         4000      </v>
      </c>
      <c r="AB131" s="161" t="str">
        <f t="shared" si="549"/>
        <v>Engineer</v>
      </c>
      <c r="AC131" s="160" t="str">
        <f t="shared" si="282"/>
        <v xml:space="preserve">                       </v>
      </c>
      <c r="AD131" s="160" t="str">
        <f t="shared" si="289"/>
        <v xml:space="preserve">      </v>
      </c>
      <c r="AE131" s="162" t="str">
        <f t="shared" si="550"/>
        <v xml:space="preserve">1     </v>
      </c>
      <c r="AF131" s="160" t="str">
        <f t="shared" si="290"/>
        <v xml:space="preserve">            </v>
      </c>
      <c r="AG131" s="161" t="str">
        <f t="shared" si="551"/>
        <v/>
      </c>
      <c r="AH131" s="160" t="str">
        <f t="shared" si="327"/>
        <v xml:space="preserve">        </v>
      </c>
      <c r="AI131" s="163" t="str">
        <f t="shared" si="545"/>
        <v>4000</v>
      </c>
      <c r="AJ131" s="160" t="str">
        <f t="shared" si="283"/>
        <v xml:space="preserve">      </v>
      </c>
      <c r="AK131" s="163"/>
      <c r="AL131" s="163"/>
      <c r="AM131" s="153"/>
      <c r="AN131" s="153"/>
      <c r="AO131" s="153"/>
      <c r="AP131" s="153"/>
      <c r="DL131"/>
      <c r="DQ131" s="44"/>
    </row>
    <row r="132" spans="3:121">
      <c r="C132" t="s">
        <v>426</v>
      </c>
      <c r="H132" s="105">
        <f>ROUNDUP( SUM(O28:O35), 0 ) * (Hull&gt;=100)</f>
        <v>1</v>
      </c>
      <c r="J132" s="106">
        <f xml:space="preserve"> MAX( 1, SUMIF( AO29:AO35, "&gt;1" ) )</f>
        <v>1</v>
      </c>
      <c r="L132" s="45"/>
      <c r="Z132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</v>
      </c>
      <c r="AA132" s="160" t="str">
        <f t="shared" si="548"/>
        <v xml:space="preserve">
    Engineer                              1           1                  </v>
      </c>
      <c r="AB132" s="161" t="str">
        <f t="shared" si="549"/>
        <v xml:space="preserve">    Engineer</v>
      </c>
      <c r="AC132" s="160" t="str">
        <f t="shared" si="282"/>
        <v xml:space="preserve">                   </v>
      </c>
      <c r="AD132" s="160" t="str">
        <f t="shared" si="289"/>
        <v xml:space="preserve">       </v>
      </c>
      <c r="AE132" s="162" t="str">
        <f t="shared" si="550"/>
        <v xml:space="preserve">    1</v>
      </c>
      <c r="AF132" s="160" t="str">
        <f t="shared" si="290"/>
        <v xml:space="preserve">           </v>
      </c>
      <c r="AG132" s="161" t="str">
        <f t="shared" si="551"/>
        <v>1</v>
      </c>
      <c r="AH132" s="160" t="str">
        <f t="shared" si="327"/>
        <v xml:space="preserve">            </v>
      </c>
      <c r="AI132" s="163" t="str">
        <f t="shared" si="545"/>
        <v/>
      </c>
      <c r="AJ132" s="160" t="str">
        <f t="shared" si="283"/>
        <v xml:space="preserve">      </v>
      </c>
      <c r="AK132" s="163"/>
      <c r="AL132" s="163"/>
      <c r="AM132" s="153"/>
      <c r="AN132" s="153"/>
      <c r="AO132" s="153"/>
      <c r="AP132" s="153"/>
      <c r="DL132"/>
      <c r="DQ132" s="44"/>
    </row>
    <row r="133" spans="3:121">
      <c r="C133" t="s">
        <v>159</v>
      </c>
      <c r="H133" s="16">
        <f xml:space="preserve"> ROUND( Hull / ( 1000 - 500*(Military&gt;0) ), 0 )</f>
        <v>0</v>
      </c>
      <c r="J133" s="106">
        <f xml:space="preserve"> ROUNDUP( H133/2, 0 )</f>
        <v>0</v>
      </c>
      <c r="L133" s="45"/>
      <c r="Z133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</v>
      </c>
      <c r="AA133" s="160" t="str">
        <f t="shared" si="548"/>
        <v/>
      </c>
      <c r="AB133" s="161" t="str">
        <f t="shared" si="549"/>
        <v xml:space="preserve">    Maintenance</v>
      </c>
      <c r="AC133" s="160" t="str">
        <f t="shared" si="282"/>
        <v xml:space="preserve">                </v>
      </c>
      <c r="AD133" s="160" t="str">
        <f t="shared" si="289"/>
        <v xml:space="preserve">       </v>
      </c>
      <c r="AE133" s="162" t="str">
        <f t="shared" si="550"/>
        <v xml:space="preserve">    0</v>
      </c>
      <c r="AF133" s="160" t="str">
        <f t="shared" si="290"/>
        <v xml:space="preserve">            </v>
      </c>
      <c r="AG133" s="161" t="str">
        <f t="shared" si="551"/>
        <v/>
      </c>
      <c r="AH133" s="160" t="str">
        <f t="shared" si="327"/>
        <v xml:space="preserve">            </v>
      </c>
      <c r="AI133" s="163" t="str">
        <f t="shared" si="545"/>
        <v/>
      </c>
      <c r="AJ133" s="160" t="str">
        <f t="shared" si="283"/>
        <v xml:space="preserve">      </v>
      </c>
      <c r="AK133" s="163"/>
      <c r="AL133" s="163"/>
      <c r="AM133" s="153"/>
      <c r="AN133" s="153"/>
      <c r="AO133" s="153"/>
      <c r="AP133" s="153"/>
      <c r="DL133"/>
      <c r="DQ133" s="44"/>
    </row>
    <row r="134" spans="3:121">
      <c r="C134" t="s">
        <v>14</v>
      </c>
      <c r="G134">
        <f>ROUNDUP(SUM(H135:H137)/(1),0) * (Hull&gt;=100)</f>
        <v>0</v>
      </c>
      <c r="J134" s="106">
        <f xml:space="preserve"> MAX( 1*(Hull&gt;150), ROUNDDOWN(G134/4,0) )</f>
        <v>0</v>
      </c>
      <c r="L134" s="45">
        <f>G134*2000</f>
        <v>0</v>
      </c>
      <c r="Z134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</v>
      </c>
      <c r="AA134" s="160" t="str">
        <f t="shared" si="548"/>
        <v/>
      </c>
      <c r="AB134" s="161" t="str">
        <f t="shared" si="549"/>
        <v>Service</v>
      </c>
      <c r="AC134" s="160" t="str">
        <f t="shared" ref="AC134:AC144" si="553" xml:space="preserve"> CONCATENATE( REPT(" ",MAX(0,31-LEN(AB134))) )</f>
        <v xml:space="preserve">                        </v>
      </c>
      <c r="AD134" s="160" t="str">
        <f t="shared" si="289"/>
        <v xml:space="preserve">      </v>
      </c>
      <c r="AE134" s="162" t="str">
        <f t="shared" si="550"/>
        <v xml:space="preserve">0     </v>
      </c>
      <c r="AF134" s="160" t="str">
        <f t="shared" si="290"/>
        <v xml:space="preserve">            </v>
      </c>
      <c r="AG134" s="161" t="str">
        <f t="shared" si="551"/>
        <v/>
      </c>
      <c r="AH134" s="160" t="str">
        <f t="shared" si="327"/>
        <v xml:space="preserve">           </v>
      </c>
      <c r="AI134" s="163" t="str">
        <f t="shared" si="545"/>
        <v>0</v>
      </c>
      <c r="AJ134" s="160" t="str">
        <f t="shared" ref="AJ134:AJ143" si="554" xml:space="preserve"> CONCATENATE( REPT(" ",MAX(0,6-LEN(AK134))) )</f>
        <v xml:space="preserve">      </v>
      </c>
      <c r="AK134" s="163"/>
      <c r="AL134" s="163"/>
      <c r="AM134" s="153"/>
      <c r="AN134" s="153"/>
      <c r="AO134" s="153"/>
      <c r="AP134" s="153"/>
      <c r="DL134"/>
      <c r="DQ134" s="44"/>
    </row>
    <row r="135" spans="3:121">
      <c r="C135" t="s">
        <v>272</v>
      </c>
      <c r="H135" s="16">
        <f xml:space="preserve"> ROUND( Hull / 1000, 0 )</f>
        <v>0</v>
      </c>
      <c r="J135" s="106"/>
      <c r="L135" s="45"/>
      <c r="Z135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</v>
      </c>
      <c r="AA135" s="160" t="str">
        <f t="shared" si="548"/>
        <v/>
      </c>
      <c r="AB135" s="161" t="str">
        <f t="shared" si="549"/>
        <v xml:space="preserve">    Admin</v>
      </c>
      <c r="AC135" s="160" t="str">
        <f t="shared" si="553"/>
        <v xml:space="preserve">                      </v>
      </c>
      <c r="AD135" s="160" t="str">
        <f t="shared" si="289"/>
        <v xml:space="preserve">       </v>
      </c>
      <c r="AE135" s="162" t="str">
        <f t="shared" si="550"/>
        <v xml:space="preserve">    0</v>
      </c>
      <c r="AF135" s="160" t="str">
        <f t="shared" si="290"/>
        <v xml:space="preserve">            </v>
      </c>
      <c r="AG135" s="161" t="str">
        <f t="shared" si="551"/>
        <v/>
      </c>
      <c r="AH135" s="160" t="str">
        <f t="shared" si="327"/>
        <v xml:space="preserve">            </v>
      </c>
      <c r="AI135" s="163" t="str">
        <f t="shared" si="545"/>
        <v/>
      </c>
      <c r="AJ135" s="160" t="str">
        <f t="shared" si="554"/>
        <v xml:space="preserve">      </v>
      </c>
      <c r="AK135" s="163"/>
      <c r="AL135" s="163"/>
      <c r="AM135" s="153"/>
      <c r="AN135" s="153"/>
      <c r="AO135" s="153"/>
      <c r="AP135" s="153"/>
      <c r="DL135"/>
      <c r="DQ135" s="44"/>
    </row>
    <row r="136" spans="3:121">
      <c r="C136" t="s">
        <v>468</v>
      </c>
      <c r="H136" s="16">
        <f xml:space="preserve"> ROUNDUP(  MAX( 0, 0.5*(SUM( G147:G150 )&gt;0), -1*(Hull&lt;=200) + ( SUM(G127:G133,G138:G143)/10 + SUM(G147:G150)/10 ) ), 0 )</f>
        <v>0</v>
      </c>
      <c r="J136" s="106"/>
      <c r="L136" s="45"/>
      <c r="Z136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</v>
      </c>
      <c r="AA136" s="160" t="str">
        <f t="shared" si="548"/>
        <v/>
      </c>
      <c r="AB136" s="161" t="str">
        <f t="shared" si="549"/>
        <v xml:space="preserve">    Medic</v>
      </c>
      <c r="AC136" s="160" t="str">
        <f t="shared" si="553"/>
        <v xml:space="preserve">                      </v>
      </c>
      <c r="AD136" s="160" t="str">
        <f t="shared" si="289"/>
        <v xml:space="preserve">       </v>
      </c>
      <c r="AE136" s="162" t="str">
        <f t="shared" si="550"/>
        <v xml:space="preserve">    0</v>
      </c>
      <c r="AF136" s="160" t="str">
        <f t="shared" si="290"/>
        <v xml:space="preserve">            </v>
      </c>
      <c r="AG136" s="161" t="str">
        <f t="shared" si="551"/>
        <v/>
      </c>
      <c r="AH136" s="160" t="str">
        <f t="shared" si="327"/>
        <v xml:space="preserve">            </v>
      </c>
      <c r="AI136" s="163" t="str">
        <f t="shared" si="545"/>
        <v/>
      </c>
      <c r="AJ136" s="160" t="str">
        <f t="shared" si="554"/>
        <v xml:space="preserve">      </v>
      </c>
      <c r="AK136" s="163"/>
      <c r="AL136" s="163"/>
      <c r="AM136" s="153"/>
      <c r="AN136" s="153"/>
      <c r="AO136" s="153"/>
      <c r="AP136" s="153"/>
      <c r="DL136"/>
      <c r="DQ136" s="44"/>
    </row>
    <row r="137" spans="3:121">
      <c r="C137" t="s">
        <v>948</v>
      </c>
      <c r="H137" s="16">
        <f xml:space="preserve"> ROUNDUP( HighPassengers / 10 + MidPassengers/100, 0 )</f>
        <v>0</v>
      </c>
      <c r="J137" s="106">
        <f xml:space="preserve"> 1 * (Hull&gt;=100)</f>
        <v>1</v>
      </c>
      <c r="L137" s="45"/>
      <c r="Z137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</v>
      </c>
      <c r="AA137" s="160" t="str">
        <f t="shared" si="548"/>
        <v xml:space="preserve">
    Steward                               0           1                  </v>
      </c>
      <c r="AB137" s="161" t="str">
        <f t="shared" si="549"/>
        <v xml:space="preserve">    Steward</v>
      </c>
      <c r="AC137" s="160" t="str">
        <f t="shared" si="553"/>
        <v xml:space="preserve">                    </v>
      </c>
      <c r="AD137" s="160" t="str">
        <f t="shared" si="289"/>
        <v xml:space="preserve">       </v>
      </c>
      <c r="AE137" s="162" t="str">
        <f t="shared" si="550"/>
        <v xml:space="preserve">    0</v>
      </c>
      <c r="AF137" s="160" t="str">
        <f t="shared" si="290"/>
        <v xml:space="preserve">           </v>
      </c>
      <c r="AG137" s="161" t="str">
        <f t="shared" si="551"/>
        <v>1</v>
      </c>
      <c r="AH137" s="160" t="str">
        <f t="shared" si="327"/>
        <v xml:space="preserve">            </v>
      </c>
      <c r="AI137" s="163" t="str">
        <f t="shared" si="545"/>
        <v/>
      </c>
      <c r="AJ137" s="160" t="str">
        <f t="shared" si="554"/>
        <v xml:space="preserve">      </v>
      </c>
      <c r="AK137" s="163"/>
      <c r="AL137" s="163"/>
      <c r="AM137" s="153"/>
      <c r="AN137" s="153"/>
      <c r="AO137" s="153"/>
      <c r="AP137" s="153"/>
      <c r="DL137"/>
      <c r="DQ137" s="44"/>
    </row>
    <row r="138" spans="3:121">
      <c r="C138" t="s">
        <v>231</v>
      </c>
      <c r="G138">
        <f>ROUNDUP(SUM(H139:H140)/(1+2*(Hull&gt;5000)),0)</f>
        <v>0</v>
      </c>
      <c r="J138" s="106"/>
      <c r="L138" s="45">
        <f>G138*2000</f>
        <v>0</v>
      </c>
      <c r="Z138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</v>
      </c>
      <c r="AA138" s="160" t="str">
        <f t="shared" si="548"/>
        <v/>
      </c>
      <c r="AB138" s="161" t="str">
        <f t="shared" si="549"/>
        <v>Gunner</v>
      </c>
      <c r="AC138" s="160" t="str">
        <f t="shared" si="553"/>
        <v xml:space="preserve">                         </v>
      </c>
      <c r="AD138" s="160" t="str">
        <f t="shared" si="289"/>
        <v xml:space="preserve">      </v>
      </c>
      <c r="AE138" s="162" t="str">
        <f t="shared" si="550"/>
        <v xml:space="preserve">0     </v>
      </c>
      <c r="AF138" s="160" t="str">
        <f t="shared" si="290"/>
        <v xml:space="preserve">            </v>
      </c>
      <c r="AG138" s="161" t="str">
        <f t="shared" si="551"/>
        <v/>
      </c>
      <c r="AH138" s="160" t="str">
        <f t="shared" si="327"/>
        <v xml:space="preserve">           </v>
      </c>
      <c r="AI138" s="163" t="str">
        <f t="shared" si="545"/>
        <v>0</v>
      </c>
      <c r="AJ138" s="160" t="str">
        <f t="shared" si="554"/>
        <v xml:space="preserve">      </v>
      </c>
      <c r="AK138" s="163"/>
      <c r="AL138" s="163"/>
      <c r="AM138" s="153"/>
      <c r="AN138" s="153"/>
      <c r="AO138" s="153"/>
      <c r="AP138" s="153"/>
      <c r="DL138"/>
      <c r="DQ138" s="44"/>
    </row>
    <row r="139" spans="3:121">
      <c r="C139" t="s">
        <v>384</v>
      </c>
      <c r="G139" s="48"/>
      <c r="H139" s="74">
        <f xml:space="preserve"> SUM( AM98:AM109 )</f>
        <v>0</v>
      </c>
      <c r="J139" s="106">
        <f xml:space="preserve"> MAX(  SUM( AM98:AM109 ),  ROUNDDOWN( Hull/100, 0 )  )</f>
        <v>1</v>
      </c>
      <c r="L139" s="45"/>
      <c r="Z139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
    Gunner                                0           1                  </v>
      </c>
      <c r="AA139" s="160" t="str">
        <f t="shared" si="548"/>
        <v xml:space="preserve">
    Gunner                                0           1                  </v>
      </c>
      <c r="AB139" s="161" t="str">
        <f t="shared" si="549"/>
        <v xml:space="preserve">    Gunner</v>
      </c>
      <c r="AC139" s="160" t="str">
        <f t="shared" si="553"/>
        <v xml:space="preserve">                     </v>
      </c>
      <c r="AD139" s="160" t="str">
        <f t="shared" si="289"/>
        <v xml:space="preserve">       </v>
      </c>
      <c r="AE139" s="162" t="str">
        <f t="shared" si="550"/>
        <v xml:space="preserve">    0</v>
      </c>
      <c r="AF139" s="160" t="str">
        <f t="shared" si="290"/>
        <v xml:space="preserve">           </v>
      </c>
      <c r="AG139" s="161" t="str">
        <f t="shared" si="551"/>
        <v>1</v>
      </c>
      <c r="AH139" s="160" t="str">
        <f t="shared" si="327"/>
        <v xml:space="preserve">            </v>
      </c>
      <c r="AI139" s="163" t="str">
        <f t="shared" si="545"/>
        <v/>
      </c>
      <c r="AJ139" s="160" t="str">
        <f t="shared" si="554"/>
        <v xml:space="preserve">      </v>
      </c>
      <c r="AK139" s="163"/>
      <c r="AL139" s="163"/>
      <c r="AM139" s="153"/>
      <c r="AN139" s="153"/>
      <c r="AO139" s="153"/>
      <c r="AP139" s="153"/>
      <c r="DL139"/>
      <c r="DQ139" s="44"/>
    </row>
    <row r="140" spans="3:121">
      <c r="C140" t="s">
        <v>836</v>
      </c>
      <c r="G140" s="48"/>
      <c r="H140" s="74">
        <f xml:space="preserve"> MAX(  J140*(Military&gt;1),  1*(J140&gt;0)  )</f>
        <v>0</v>
      </c>
      <c r="J140" s="106">
        <f>SUM( AM110:AM114 )</f>
        <v>0</v>
      </c>
      <c r="L140" s="45"/>
      <c r="Z140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
    Gunner                                0           1                  </v>
      </c>
      <c r="AA140" s="160" t="str">
        <f t="shared" si="548"/>
        <v/>
      </c>
      <c r="AB140" s="161" t="str">
        <f t="shared" si="549"/>
        <v xml:space="preserve">    Screen</v>
      </c>
      <c r="AC140" s="160" t="str">
        <f t="shared" si="553"/>
        <v xml:space="preserve">                     </v>
      </c>
      <c r="AD140" s="160" t="str">
        <f t="shared" si="289"/>
        <v xml:space="preserve">       </v>
      </c>
      <c r="AE140" s="162" t="str">
        <f t="shared" si="550"/>
        <v xml:space="preserve">    0</v>
      </c>
      <c r="AF140" s="160" t="str">
        <f t="shared" si="290"/>
        <v xml:space="preserve">            </v>
      </c>
      <c r="AG140" s="161" t="str">
        <f t="shared" si="551"/>
        <v/>
      </c>
      <c r="AH140" s="160" t="str">
        <f t="shared" si="327"/>
        <v xml:space="preserve">            </v>
      </c>
      <c r="AI140" s="163" t="str">
        <f t="shared" si="545"/>
        <v/>
      </c>
      <c r="AJ140" s="160" t="str">
        <f t="shared" si="554"/>
        <v xml:space="preserve">      </v>
      </c>
      <c r="AK140" s="163"/>
      <c r="AL140" s="163"/>
      <c r="AM140" s="153"/>
      <c r="AN140" s="153"/>
      <c r="AO140" s="153"/>
      <c r="AP140" s="153"/>
      <c r="DL140"/>
      <c r="DQ140" s="44"/>
    </row>
    <row r="141" spans="3:121">
      <c r="C141" t="s">
        <v>992</v>
      </c>
      <c r="G141" s="16">
        <v>0</v>
      </c>
      <c r="J141" s="47">
        <f xml:space="preserve"> ROUNDUP( G141/4, 0 )</f>
        <v>0</v>
      </c>
      <c r="L141" s="45">
        <f xml:space="preserve"> G141*4000</f>
        <v>0</v>
      </c>
      <c r="Z141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
    Gunner                                0           1                  </v>
      </c>
      <c r="AA141" s="160" t="str">
        <f t="shared" si="548"/>
        <v/>
      </c>
      <c r="AB141" s="161" t="str">
        <f t="shared" si="549"/>
        <v>Specialists</v>
      </c>
      <c r="AC141" s="160" t="str">
        <f t="shared" si="553"/>
        <v xml:space="preserve">                    </v>
      </c>
      <c r="AD141" s="160" t="str">
        <f t="shared" si="289"/>
        <v xml:space="preserve">      </v>
      </c>
      <c r="AE141" s="162" t="str">
        <f t="shared" si="550"/>
        <v xml:space="preserve">0     </v>
      </c>
      <c r="AF141" s="160" t="str">
        <f t="shared" si="290"/>
        <v xml:space="preserve">            </v>
      </c>
      <c r="AG141" s="161" t="str">
        <f t="shared" si="551"/>
        <v/>
      </c>
      <c r="AH141" s="160" t="str">
        <f t="shared" si="327"/>
        <v xml:space="preserve">           </v>
      </c>
      <c r="AI141" s="163" t="str">
        <f t="shared" si="545"/>
        <v>0</v>
      </c>
      <c r="AJ141" s="160" t="str">
        <f t="shared" si="554"/>
        <v xml:space="preserve">      </v>
      </c>
      <c r="AK141" s="163"/>
      <c r="AL141" s="163"/>
      <c r="AM141" s="153"/>
      <c r="AN141" s="153"/>
      <c r="AO141" s="153"/>
      <c r="AP141" s="153"/>
      <c r="DL141"/>
      <c r="DQ141" s="44"/>
    </row>
    <row r="142" spans="3:121">
      <c r="C142" t="s">
        <v>637</v>
      </c>
      <c r="G142" s="16">
        <f xml:space="preserve"> IF( OR(Hull&gt;=1000,SUM(O115:O120)&gt;4), SUM( O115:O120 ), 0 )</f>
        <v>0</v>
      </c>
      <c r="J142" s="47">
        <f xml:space="preserve"> 1*(SUM(G115:G120)&gt;0)*(Hull&gt;200)</f>
        <v>0</v>
      </c>
      <c r="L142" s="45">
        <f>G142*2000</f>
        <v>0</v>
      </c>
      <c r="Z142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
    Gunner                                0           1                  </v>
      </c>
      <c r="AA142" s="160" t="str">
        <f t="shared" si="548"/>
        <v/>
      </c>
      <c r="AB142" s="161" t="str">
        <f t="shared" si="549"/>
        <v>Flight</v>
      </c>
      <c r="AC142" s="160" t="str">
        <f t="shared" si="553"/>
        <v xml:space="preserve">                         </v>
      </c>
      <c r="AD142" s="160" t="str">
        <f t="shared" si="289"/>
        <v xml:space="preserve">      </v>
      </c>
      <c r="AE142" s="162" t="str">
        <f t="shared" si="550"/>
        <v xml:space="preserve">0     </v>
      </c>
      <c r="AF142" s="160" t="str">
        <f t="shared" si="290"/>
        <v xml:space="preserve">            </v>
      </c>
      <c r="AG142" s="161" t="str">
        <f t="shared" si="551"/>
        <v/>
      </c>
      <c r="AH142" s="160" t="str">
        <f t="shared" si="327"/>
        <v xml:space="preserve">           </v>
      </c>
      <c r="AI142" s="163" t="str">
        <f t="shared" si="545"/>
        <v>0</v>
      </c>
      <c r="AJ142" s="160" t="str">
        <f t="shared" si="554"/>
        <v xml:space="preserve">      </v>
      </c>
      <c r="AK142" s="163"/>
      <c r="AL142" s="163"/>
      <c r="AM142" s="153"/>
      <c r="AN142" s="153"/>
      <c r="AO142" s="153"/>
      <c r="AP142" s="153"/>
      <c r="DL142"/>
      <c r="DQ142" s="44"/>
    </row>
    <row r="143" spans="3:121">
      <c r="C143" t="s">
        <v>445</v>
      </c>
      <c r="G143" s="16">
        <v>0</v>
      </c>
      <c r="J143" s="106"/>
      <c r="L143" s="45">
        <f>G143*1000</f>
        <v>0</v>
      </c>
      <c r="Z143" s="160" t="str">
        <f t="shared" si="552"/>
        <v xml:space="preserve"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
    Gunner                                0           1                  </v>
      </c>
      <c r="AA143" s="160" t="str">
        <f t="shared" si="548"/>
        <v/>
      </c>
      <c r="AB143" s="161" t="str">
        <f t="shared" si="549"/>
        <v>Troops</v>
      </c>
      <c r="AC143" s="160" t="str">
        <f t="shared" si="553"/>
        <v xml:space="preserve">                         </v>
      </c>
      <c r="AD143" s="160" t="str">
        <f t="shared" si="289"/>
        <v xml:space="preserve">      </v>
      </c>
      <c r="AE143" s="162" t="str">
        <f t="shared" si="550"/>
        <v xml:space="preserve">0     </v>
      </c>
      <c r="AF143" s="160" t="str">
        <f t="shared" si="290"/>
        <v xml:space="preserve">            </v>
      </c>
      <c r="AG143" s="161" t="str">
        <f t="shared" si="551"/>
        <v/>
      </c>
      <c r="AH143" s="160" t="str">
        <f t="shared" si="327"/>
        <v xml:space="preserve">           </v>
      </c>
      <c r="AI143" s="163" t="str">
        <f t="shared" si="545"/>
        <v>0</v>
      </c>
      <c r="AJ143" s="160" t="str">
        <f t="shared" si="554"/>
        <v xml:space="preserve">      </v>
      </c>
      <c r="AK143" s="163"/>
      <c r="AL143" s="163"/>
      <c r="AM143" s="153"/>
      <c r="AN143" s="153"/>
      <c r="AO143" s="153"/>
      <c r="AP143" s="153"/>
      <c r="DL143"/>
      <c r="DQ143" s="44"/>
    </row>
    <row r="144" spans="3:121">
      <c r="Z144" s="160" t="str">
        <f t="shared" si="552"/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
    Gunner                                0           1                  [/code]</v>
      </c>
      <c r="AA144" s="160" t="str">
        <f>CONCATENATE( "[/code]" )</f>
        <v>[/code]</v>
      </c>
      <c r="AC144" s="160" t="str">
        <f t="shared" si="553"/>
        <v xml:space="preserve">                               </v>
      </c>
      <c r="AJ144" s="164"/>
      <c r="AK144" s="164"/>
      <c r="AL144" s="164"/>
      <c r="AM144" s="120"/>
      <c r="AN144" s="120"/>
      <c r="AO144" s="120"/>
      <c r="AP144" s="120"/>
      <c r="DL144"/>
      <c r="DQ144" s="44"/>
    </row>
    <row r="146" spans="1:26">
      <c r="A146" s="94" t="s">
        <v>1027</v>
      </c>
      <c r="C146" s="54" t="s">
        <v>689</v>
      </c>
      <c r="Z146" s="160" t="str">
        <f>Z144</f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
    Gunner                                0           1                  [/code]</v>
      </c>
    </row>
    <row r="147" spans="1:26">
      <c r="C147" t="s">
        <v>334</v>
      </c>
      <c r="G147" s="16">
        <f xml:space="preserve"> IFERROR( ROUNDDOWN( Simple!$C$12 / 2,0), 0 )</f>
        <v>0</v>
      </c>
    </row>
    <row r="148" spans="1:26">
      <c r="C148" t="s">
        <v>44</v>
      </c>
      <c r="G148" s="16">
        <f xml:space="preserve"> IFERROR( ROUNDUP( Simple!$C$12 / 2,0), 0 )</f>
        <v>0</v>
      </c>
    </row>
    <row r="149" spans="1:26">
      <c r="C149" t="s">
        <v>339</v>
      </c>
      <c r="G149" s="16">
        <f xml:space="preserve"> IFERROR( ROUNDUP( Simple!$C$12 / 2,0), 0 ) * 0</f>
        <v>0</v>
      </c>
    </row>
    <row r="150" spans="1:26">
      <c r="C150" t="s">
        <v>731</v>
      </c>
      <c r="G150" s="16">
        <f xml:space="preserve"> IFERROR( ROUNDUP( Simple!$C$12 / 2,0), 0 ) * 0</f>
        <v>0</v>
      </c>
    </row>
    <row r="154" spans="1:26">
      <c r="A154" s="94" t="s">
        <v>721</v>
      </c>
      <c r="J154" s="41" t="s">
        <v>919</v>
      </c>
      <c r="K154" s="136">
        <f xml:space="preserve"> L2 * 20%</f>
        <v>6.7360000000000007</v>
      </c>
      <c r="O154" s="128" t="s">
        <v>806</v>
      </c>
      <c r="P154" s="11">
        <v>0.8</v>
      </c>
    </row>
    <row r="156" spans="1:26">
      <c r="C156" s="43" t="s">
        <v>484</v>
      </c>
      <c r="D156" s="43"/>
      <c r="E156" s="43"/>
      <c r="F156" s="43"/>
      <c r="I156" s="40" t="s">
        <v>316</v>
      </c>
      <c r="K156" s="41" t="s">
        <v>932</v>
      </c>
      <c r="M156" s="40" t="s">
        <v>172</v>
      </c>
      <c r="N156" s="40"/>
      <c r="P156" s="41" t="s">
        <v>932</v>
      </c>
    </row>
    <row r="157" spans="1:26">
      <c r="C157" s="44">
        <v>25</v>
      </c>
      <c r="D157" s="44"/>
      <c r="E157" s="44"/>
      <c r="F157" s="44"/>
      <c r="I157" t="s">
        <v>496</v>
      </c>
      <c r="K157" s="38">
        <f>L2/20/C157*1000</f>
        <v>67.36</v>
      </c>
      <c r="M157" t="s">
        <v>334</v>
      </c>
      <c r="P157" s="38">
        <f xml:space="preserve"> HighPassengers * ( 10 + $C$163 ) * AvgFilledCapacity * (JumpN&gt;0)</f>
        <v>0</v>
      </c>
    </row>
    <row r="158" spans="1:26">
      <c r="I158" t="s">
        <v>934</v>
      </c>
      <c r="K158" s="38">
        <f>L2/1000/C157*1000</f>
        <v>1.3472</v>
      </c>
      <c r="M158" t="s">
        <v>44</v>
      </c>
      <c r="P158" s="38">
        <f xml:space="preserve"> MidPassengers * ( 8 + $C$163 ) * AvgFilledCapacity * (JumpN&gt;0)</f>
        <v>0</v>
      </c>
    </row>
    <row r="159" spans="1:26">
      <c r="C159" s="43" t="s">
        <v>512</v>
      </c>
      <c r="D159" s="43"/>
      <c r="E159" s="43"/>
      <c r="F159" s="43"/>
      <c r="I159" t="s">
        <v>1018</v>
      </c>
      <c r="K159" s="38">
        <f xml:space="preserve"> ( K36+K38/I38*2 ) * ( 0.1 + 0.4*(J40=0) )</f>
        <v>2.1</v>
      </c>
      <c r="M159" t="s">
        <v>391</v>
      </c>
      <c r="P159" s="38">
        <f xml:space="preserve"> SteeragePassengers * 2*( 1 + 0.1*$C$163 ) * AvgFilledCapacity * (JumpN&gt;0)</f>
        <v>0</v>
      </c>
    </row>
    <row r="160" spans="1:26">
      <c r="C160" s="44">
        <v>12</v>
      </c>
      <c r="D160" s="44"/>
      <c r="E160" s="44"/>
      <c r="F160" s="44"/>
      <c r="I160" t="s">
        <v>575</v>
      </c>
      <c r="K160" s="38">
        <f xml:space="preserve"> ( Crew+ ( HighPassengers+MidPassengers) *AvgFilledCapacity ) * 2 + ( SteeragePassengers * 1 + LowPassengers * 0.1 ) * AvgFilledCapacity</f>
        <v>6</v>
      </c>
      <c r="M160" t="s">
        <v>292</v>
      </c>
      <c r="P160" s="38">
        <f xml:space="preserve"> LowPassengers * ( 1 + 0.1*$C$163 ) * AvgFilledCapacity * (JumpN&gt;0)</f>
        <v>0</v>
      </c>
    </row>
    <row r="161" spans="1:134">
      <c r="I161" t="s">
        <v>576</v>
      </c>
      <c r="K161" s="38">
        <f>L125*C160/C157/1000</f>
        <v>7.2</v>
      </c>
      <c r="M161" t="s">
        <v>95</v>
      </c>
      <c r="P161" s="38">
        <f xml:space="preserve"> MAX( 0, INT(Cargo/5)*5 * AvgFilledCapacity * (JumpN&gt;0) )</f>
        <v>24</v>
      </c>
    </row>
    <row r="162" spans="1:134">
      <c r="C162" s="43" t="s">
        <v>457</v>
      </c>
      <c r="I162" t="s">
        <v>577</v>
      </c>
      <c r="K162" s="38"/>
    </row>
    <row r="163" spans="1:134">
      <c r="C163" s="95">
        <f xml:space="preserve"> IF( C3="", 0, C3 )</f>
        <v>0</v>
      </c>
      <c r="K163" s="38"/>
    </row>
    <row r="164" spans="1:134">
      <c r="K164" s="42">
        <f>SUM(K157:K163)</f>
        <v>84.007199999999997</v>
      </c>
      <c r="P164" s="42">
        <f>SUM(P157:P163)</f>
        <v>24</v>
      </c>
    </row>
    <row r="165" spans="1:134">
      <c r="L165" s="40"/>
      <c r="M165" s="42"/>
      <c r="N165" s="42"/>
    </row>
    <row r="166" spans="1:134">
      <c r="K166" s="41" t="s">
        <v>589</v>
      </c>
      <c r="L166" s="136">
        <f xml:space="preserve"> P164-K164</f>
        <v>-60.007199999999997</v>
      </c>
      <c r="M166" s="42"/>
      <c r="N166" s="42"/>
    </row>
    <row r="167" spans="1:134">
      <c r="K167" s="41" t="s">
        <v>1009</v>
      </c>
      <c r="L167" s="136">
        <f xml:space="preserve"> L166*C157 / 1000</f>
        <v>-1.5001799999999998</v>
      </c>
      <c r="M167" s="94"/>
    </row>
    <row r="168" spans="1:134">
      <c r="K168" s="41" t="s">
        <v>265</v>
      </c>
      <c r="L168" s="138">
        <f xml:space="preserve"> L167 / K154</f>
        <v>-0.22271080760095008</v>
      </c>
    </row>
    <row r="169" spans="1:134">
      <c r="K169" s="41"/>
      <c r="L169" s="137"/>
    </row>
    <row r="170" spans="1:134">
      <c r="K170" s="41"/>
      <c r="L170" s="137"/>
    </row>
    <row r="171" spans="1:134">
      <c r="B171" s="113" t="s">
        <v>914</v>
      </c>
      <c r="C171" s="165" t="str">
        <f>Z144</f>
        <v>[code]SC-AU22   TL-12                      Ergo 2   Comfort 4    Demand 0        Agility -1
                                     Total:           0       33,68        Stability 0
System                                    #        Dton        Cost      
Hull                                                100                  
Config: Unstreamlined                                           4,5      
Structure: Plate Kinetic       AV=12 ( 120 vs Blast, 2400 vs Heat/Beam, 120 vs Pres, 1200 vs Rad, 0 vs EMP )      
Coating: Reflec                AV= 0 ( 1200 vs Heat/Beam  )      
Armour Std Anti-Rad                      12                          AV=12 ( 120 vs Blast, 1200 vs H/B, 1200 vs Rad, 0 vs EMP )      
Landing Skids Tarmac                                  0           0      
Lifters Installed                                               0,5      
Jump Field: Jump Bubble                                           0        D=221 m, Flash 7
J Drive A      J-2, 100 EP                1          10          10      
M Drive A      2 G, 100 EP                1           2           4      
P Plant A      P 2, 100 EP                1           4           4      
Fuel, Jump                                           20                  
Fuel, Power                                           2                  
Purifier                                  1           1         0,5      
Scoops                                    1           1        0,05      
Console, Control Gen C+S=11               3           6        0,39        Brain: INT=4, EDU=2
Console, Operati Gen C+S=11               3           6        0,24        Brain: INT=4, EDU=2
Computer Gen m/1/bis                      1           1         1,5      
Sensors                                                                  
Mod AR Surf Commu-10 +2 A+7 PA            1           0         1,5      
Mod AR Surf Radar-11 +2 A+7 PA            1           0         1,5      
Mod AR Surf Scope-11 +2 A-- P(            1           0         1,5      
Crew:                             Comfort 4                              
Staterooms                                3           6         0,3      
Freshers Shared                           2           1           1      
Common Areas                              5           5           0      
Life Support:                                                            
Med Console                               1         0,5         0,5      
Life Support, Standard 200%             0,6         0,6         0,6        180 person-days
Escape Capsules 200%                      1           1           1         10 people
Standard Air Lock                         2         0,5         0,1      
Cargo                                              31,4                  
Spare Space                                           1                  
                                      Crew     Consoles    Salaries      
Crew                                 3                6       15000      
Bridge                               2                                   
    Pilot                                 1           1        6000      
    Astrogator                            1           1        5000      
    Sensor &amp; EW                           0           1           0      
Engineer                             1                         4000      
    Engineer                              1           1                  
    Steward                               0           1                  
    Gunner                                0           1                  [/code]</v>
      </c>
      <c r="D171" t="str">
        <f>""</f>
        <v/>
      </c>
      <c r="K171" s="41"/>
      <c r="L171" s="137"/>
    </row>
    <row r="172" spans="1:134">
      <c r="K172" s="41"/>
      <c r="L172" s="137"/>
    </row>
    <row r="173" spans="1:134">
      <c r="BL173" t="s">
        <v>1094</v>
      </c>
      <c r="BN173" t="s">
        <v>733</v>
      </c>
      <c r="BP173" t="s">
        <v>1007</v>
      </c>
    </row>
    <row r="174" spans="1:134">
      <c r="C174" s="94" t="s">
        <v>622</v>
      </c>
      <c r="AS174" t="s">
        <v>73</v>
      </c>
      <c r="BL174">
        <f xml:space="preserve"> Compartments</f>
        <v>5</v>
      </c>
      <c r="BN174">
        <f xml:space="preserve"> SUM( CW51:CW60, CW110:CW114 )</f>
        <v>3</v>
      </c>
      <c r="BP174">
        <f xml:space="preserve"> SUM( CX51:CX60, CX98:CX109, CX110:CX114 )</f>
        <v>0</v>
      </c>
    </row>
    <row r="175" spans="1:134">
      <c r="AM175" s="123">
        <f>SUM( AM177:AM190 )</f>
        <v>90</v>
      </c>
      <c r="AO175" s="123">
        <f>SUM( AO177:AO190 )</f>
        <v>27</v>
      </c>
      <c r="AQ175" t="s">
        <v>1082</v>
      </c>
      <c r="AR175">
        <f xml:space="preserve"> Compartments * 6 - $BP$174</f>
        <v>30</v>
      </c>
      <c r="AS175">
        <f>AL192/AR175</f>
        <v>3.3333333333333335</v>
      </c>
      <c r="AU175">
        <v>30</v>
      </c>
      <c r="AV175">
        <v>28</v>
      </c>
      <c r="AW175">
        <v>26</v>
      </c>
      <c r="AX175">
        <v>22</v>
      </c>
      <c r="AY175">
        <v>20</v>
      </c>
      <c r="AZ175">
        <v>24</v>
      </c>
      <c r="BA175">
        <v>14</v>
      </c>
      <c r="BB175">
        <v>16</v>
      </c>
      <c r="BC175">
        <v>18</v>
      </c>
      <c r="BD175">
        <v>12</v>
      </c>
      <c r="BE175">
        <v>10</v>
      </c>
      <c r="BF175">
        <v>8</v>
      </c>
      <c r="BG175">
        <v>6</v>
      </c>
      <c r="BH175">
        <v>4</v>
      </c>
    </row>
    <row r="176" spans="1:134">
      <c r="A176" s="113" t="s">
        <v>1011</v>
      </c>
      <c r="B176" s="238" t="s">
        <v>911</v>
      </c>
      <c r="C176" s="124" t="s">
        <v>454</v>
      </c>
      <c r="D176" s="124">
        <v>1</v>
      </c>
      <c r="E176" s="124"/>
      <c r="F176" s="124">
        <v>2</v>
      </c>
      <c r="G176" s="124"/>
      <c r="H176" s="124"/>
      <c r="I176" s="124">
        <v>3</v>
      </c>
      <c r="J176" s="124"/>
      <c r="K176" s="124">
        <v>4</v>
      </c>
      <c r="L176" s="124"/>
      <c r="M176" s="124">
        <v>5</v>
      </c>
      <c r="N176" s="124"/>
      <c r="O176" s="124"/>
      <c r="P176" s="124">
        <v>6</v>
      </c>
      <c r="Q176" s="113"/>
      <c r="R176" s="94" t="s">
        <v>440</v>
      </c>
      <c r="T176" s="94"/>
      <c r="AL176" s="113" t="s">
        <v>113</v>
      </c>
      <c r="AM176" s="113" t="s">
        <v>462</v>
      </c>
      <c r="AN176" s="94" t="s">
        <v>211</v>
      </c>
      <c r="AO176" s="113" t="s">
        <v>828</v>
      </c>
      <c r="AQ176" s="113" t="s">
        <v>411</v>
      </c>
      <c r="AR176" s="94" t="s">
        <v>211</v>
      </c>
      <c r="AU176" s="94" t="str">
        <f>AN177</f>
        <v>Sensors</v>
      </c>
      <c r="AV176" s="94" t="str">
        <f>AN178</f>
        <v>Controls</v>
      </c>
      <c r="AW176" s="94" t="str">
        <f>AN179</f>
        <v>Crew Quarters</v>
      </c>
      <c r="AX176" s="94" t="str">
        <f>AN180</f>
        <v>Life Support</v>
      </c>
      <c r="AY176" s="94" t="str">
        <f>AN181</f>
        <v>Passenger Quarters</v>
      </c>
      <c r="AZ176" s="94" t="str">
        <f>AN182</f>
        <v>Payload</v>
      </c>
      <c r="BA176" s="94" t="str">
        <f>AN183</f>
        <v>Weapons</v>
      </c>
      <c r="BB176" s="94" t="str">
        <f>AN184</f>
        <v>Fittings</v>
      </c>
      <c r="BC176" s="94" t="str">
        <f>AN185</f>
        <v>Cargo</v>
      </c>
      <c r="BD176" s="94" t="str">
        <f>AN186</f>
        <v>Craft</v>
      </c>
      <c r="BE176" s="94" t="str">
        <f>AN187</f>
        <v>Fuel</v>
      </c>
      <c r="BF176" s="94" t="str">
        <f>AN188</f>
        <v>AuxControl</v>
      </c>
      <c r="BG176" s="94" t="str">
        <f>AN189</f>
        <v>JumpD</v>
      </c>
      <c r="BH176" s="94" t="str">
        <f>AN190</f>
        <v>Drives</v>
      </c>
      <c r="BL176" s="94" t="s">
        <v>839</v>
      </c>
      <c r="BM176" s="94"/>
      <c r="BN176" s="113" t="s">
        <v>441</v>
      </c>
      <c r="BP176" s="113" t="s">
        <v>442</v>
      </c>
      <c r="BS176" s="124" t="s">
        <v>754</v>
      </c>
      <c r="BV176" s="94" t="s">
        <v>839</v>
      </c>
      <c r="BW176" s="44" t="s">
        <v>436</v>
      </c>
      <c r="BZ176">
        <v>1</v>
      </c>
      <c r="CA176">
        <v>2</v>
      </c>
      <c r="CB176">
        <v>3</v>
      </c>
      <c r="CC176">
        <v>4</v>
      </c>
      <c r="CD176">
        <v>5</v>
      </c>
      <c r="CG176" s="94" t="s">
        <v>264</v>
      </c>
      <c r="CH176" s="94" t="s">
        <v>442</v>
      </c>
      <c r="CJ176" s="94" t="s">
        <v>442</v>
      </c>
      <c r="DL176"/>
      <c r="ED176" s="44"/>
    </row>
    <row r="177" spans="1:134">
      <c r="A177">
        <f xml:space="preserve"> - HitSpan - 1</f>
        <v>-5</v>
      </c>
      <c r="B177" s="239">
        <f xml:space="preserve"> IF( A177&lt;&gt;"", IF( AND( A177&lt;=(Compartments/2), A177&gt;-(Compartments/2) ), 1, 0 ), "" )</f>
        <v>0</v>
      </c>
      <c r="C177" s="44">
        <f xml:space="preserve"> IF( B177&lt;&gt;"", IF( B177&gt;0, C176+1, 0 ), "" )</f>
        <v>0</v>
      </c>
      <c r="D177" t="str">
        <f xml:space="preserve"> IF( AND($C177&lt;&gt;"", $C177&gt;0), IF( $CH177&gt;=D$176, VLOOKUP($C177+(D$176-1)*Compartments,$CJ$177:$CK$251,2), VLOOKUP( ($C177-1)*6+D$176-SUM($CH$177:$CH177), $AQ$177:$AT$377, 4 )), "" )</f>
        <v/>
      </c>
      <c r="F177" t="str">
        <f xml:space="preserve"> IF( AND($C177&lt;&gt;"", $C177&gt;0), IF( $CH177&gt;=F$176, VLOOKUP($C177+(F$176-1)*Compartments,$CJ$177:$CK$251,2), VLOOKUP( ($C177-1)*6+F$176-SUM($CH$177:$CH177), $AQ$177:$AT$377, 4 )), "" )</f>
        <v/>
      </c>
      <c r="I177" t="str">
        <f xml:space="preserve"> IF( AND($C177&lt;&gt;"", $C177&gt;0), IF( $CH177&gt;=I$176, VLOOKUP($C177+(I$176-1)*Compartments,$CJ$177:$CK$251,2), VLOOKUP( ($C177-1)*6+I$176-SUM($CH$177:$CH177), $AQ$177:$AT$377, 4 )), "" )</f>
        <v/>
      </c>
      <c r="K177" t="str">
        <f xml:space="preserve"> IF( AND($C177&lt;&gt;"", $C177&gt;0), IF( $CH177&gt;=K$176, VLOOKUP($C177+(K$176-1)*Compartments,$CJ$177:$CK$251,2), VLOOKUP( ($C177-1)*6+K$176-SUM($CH$177:$CH177), $AQ$177:$AT$377, 4 )), "" )</f>
        <v/>
      </c>
      <c r="M177" t="str">
        <f xml:space="preserve"> IF( AND($C177&lt;&gt;"", $C177&gt;0), IF( $CH177&gt;=M$176, VLOOKUP($C177+(M$176-1)*Compartments,$CJ$177:$CK$251,2), VLOOKUP( ($C177-1)*6+M$176-SUM($CH$177:$CH177), $AQ$177:$AT$377, 4 )), "" )</f>
        <v/>
      </c>
      <c r="P177" t="str">
        <f xml:space="preserve"> IF( AND($C177&lt;&gt;"", $C177&gt;0), IF( $CH177&gt;=P$176, VLOOKUP($C177+(P$176-1)*Compartments,$CJ$177:$CK$251,2), VLOOKUP( ($C177-1)*6+P$176-SUM($CH$177:$CH177), $AQ$177:$AT$377, 4 )), "" )</f>
        <v/>
      </c>
      <c r="R177" t="str">
        <f>BX177</f>
        <v/>
      </c>
      <c r="T177" s="236"/>
      <c r="Y177"/>
      <c r="Z177"/>
      <c r="AA177"/>
      <c r="AL177">
        <v>0</v>
      </c>
      <c r="AM177">
        <f>DX2</f>
        <v>0</v>
      </c>
      <c r="AN177" t="s">
        <v>322</v>
      </c>
      <c r="AO177" s="122">
        <f>AM177/HitSize</f>
        <v>0</v>
      </c>
      <c r="AQ177">
        <v>1</v>
      </c>
      <c r="AR177" t="str">
        <f xml:space="preserve"> IF( AQ177&lt;&gt;"", IF( AND($AO$195&gt;0,AQ177&gt;=$AO$196,AQ177&lt;$AO$196+$AO$195), "JumpD", VLOOKUP( (AQ177-0.5-IF(AQ177&gt;$AO$196,$AO$195,0))*HitSize, $AL$177:$AN$190, 3 )), "" )</f>
        <v>Controls</v>
      </c>
      <c r="AS177">
        <f xml:space="preserve"> IF( AR177&lt;&gt;"", IF( AND( $AO$195&gt;0,AQ177=($AO$196+$AO$195)), IF(AR177=$AN$199,$AO$199+1,1), IF(AR177&lt;&gt;AR176,1,AS176+1)), "" )</f>
        <v>1</v>
      </c>
      <c r="AT177" t="str">
        <f>CONCATENATE( AU177,AV177,AW177,AX177,AY177,AZ177,BA177,BB177,BC177,BD177,BE177,BF177,BG177,BH177 )</f>
        <v>Consoles</v>
      </c>
      <c r="AU177" t="str">
        <f t="shared" ref="AU177:AU240" si="555" xml:space="preserve"> IF( $AR177=AU$176, IF( AND($AS177=1,$AS178=1), $AR177, VLOOKUP( MIN($AO$177-0.001,($AS177-0.5))*HitSize, $DW$4:$EZ$125, AU$175 )), "" )</f>
        <v/>
      </c>
      <c r="AV177" t="str">
        <f t="shared" ref="AV177:AV240" si="556" xml:space="preserve"> IF( $AR177=AV$176, IF( AND($AS177=1,$AS178=1), $AR177, VLOOKUP( MIN($AO$178-0.001,($AS177-0.5))*HitSize, $DY$4:$EZ$125, AV$175 )), "" )</f>
        <v>Consoles</v>
      </c>
      <c r="AW177" t="str">
        <f t="shared" ref="AW177:AW240" si="557" xml:space="preserve"> IF( $AR177=AW$176, IF( AND($AS177=1,$AS178=1), $AR177, VLOOKUP( MIN($AO$179-0.001,($AS177-0.5))*HitSize, $EA$4:$EZ$125, AW$175 )), "" )</f>
        <v/>
      </c>
      <c r="AX177" t="str">
        <f t="shared" ref="AX177:AX240" si="558" xml:space="preserve"> IF( $AR177=AX$176, IF( AND($AS177=1,$AS178=1), $AR177, VLOOKUP( MIN($AO$180-0.001,($AS177-0.5))*HitSize, $EE$4:$EZ$125, AX$175 )), "" )</f>
        <v/>
      </c>
      <c r="AY177" t="str">
        <f t="shared" ref="AY177:AY240" si="559" xml:space="preserve"> IF( $AR177=AY$176, IF( AND($AS177=1,$AS178=1), $AR177, VLOOKUP( MIN($AO$181-0.001,($AS177-0.5))*HitSize, $EG$4:$EZ$125, AY$175 )), "" )</f>
        <v/>
      </c>
      <c r="AZ177" t="str">
        <f t="shared" ref="AZ177:AZ240" si="560" xml:space="preserve"> IF( $AR177=AZ$176, IF( AND($AS177=1,$AS178=1), $AR177, VLOOKUP( MIN($AO$182-0.001,($AS177-0.5))*HitSize, $EC$4:$EZ$125, AZ$175 )), "" )</f>
        <v/>
      </c>
      <c r="BA177" t="str">
        <f t="shared" ref="BA177:BA240" si="561" xml:space="preserve"> IF( $AR177=BA$176, IF( AND($AS177=1,$AS178=1), $AR177, VLOOKUP( MIN($AO$183-0.001,($AS177-0.5))*HitSize, $EM$4:$EZ$125, BA$175 )), "" )</f>
        <v/>
      </c>
      <c r="BB177" t="str">
        <f t="shared" ref="BB177:BB240" si="562" xml:space="preserve"> IF( $AR177=BB$176, IF( AND($AS177=1,$AS178=1), $AR177, VLOOKUP( MIN($AO$184-0.001,($AS177-0.5))*HitSize, $EK$4:$EZ$125, BB$175 )), "" )</f>
        <v/>
      </c>
      <c r="BC177" t="str">
        <f t="shared" ref="BC177:BC240" si="563" xml:space="preserve"> IF( $AR177=BC$176, IF( AND($AS177=1,$AS178=1), $AR177, VLOOKUP( MIN($AO$185-0.001,($AS177-0.5))*HitSize, $EI$4:$EZ$125, BC$175 )), "" )</f>
        <v/>
      </c>
      <c r="BD177" t="str">
        <f t="shared" ref="BD177:BD240" si="564" xml:space="preserve"> IF( $AR177=BD$176, IF( AND($AS177=1,$AS178=1), $AR177, VLOOKUP( MIN($AO$186-0.001,($AS177-0.5))*HitSize, $EO$4:$EZ$125, BD$175 )), "" )</f>
        <v/>
      </c>
      <c r="BE177" t="str">
        <f t="shared" ref="BE177:BE240" si="565" xml:space="preserve"> IF( $AR177=BE$176, IF( AND($AS177=1,$AS178=1), $AR177, VLOOKUP( MIN($AO$187-0.001,($AS177-0.5))*HitSize, $EQ$4:$EZ$125, BE$175 )), "" )</f>
        <v/>
      </c>
      <c r="BF177" t="str">
        <f t="shared" ref="BF177:BF240" si="566" xml:space="preserve"> IF( $AR177=BF$176, IF( AND($AS177=1,$AS178=1), $AR177, VLOOKUP( MIN($AO$188-0.001,($AS177-0.5))*HitSize, $ES$4:$EZ$125, BF$175 )), "" )</f>
        <v/>
      </c>
      <c r="BG177" t="str">
        <f xml:space="preserve"> IF( $AR177=BG$176, $AR177, "" )</f>
        <v/>
      </c>
      <c r="BH177" t="str">
        <f t="shared" ref="BH177:BH240" si="567" xml:space="preserve"> IF( $AR177=BH$176, IF( AND($AS177=1,$AS178=1), $AR177, VLOOKUP( MAX(0,$AO$190+1-$AS177-0.5)*HitSize, $EW$4:$EZ$125, BH$175 )), "" )</f>
        <v/>
      </c>
      <c r="BL177">
        <v>1</v>
      </c>
      <c r="BN177">
        <f xml:space="preserve"> IF( BL177&gt;0, QUOTIENT( $BN$174, Compartments ) + IF( BL177&lt;=MOD( $BN$174, Compartments ), 1, 0 ), 0 )</f>
        <v>1</v>
      </c>
      <c r="BP177">
        <f xml:space="preserve"> IF( BL177&gt;0, QUOTIENT( $BP$174, Compartments ) + IF( BL177&lt;=MOD( $BP$174, Compartments ), 1, 0 ), 0 )</f>
        <v>0</v>
      </c>
      <c r="BR177">
        <v>1</v>
      </c>
      <c r="BS177" s="44" t="str">
        <f xml:space="preserve"> CONCATENATE( VLOOKUP( $BR177+9, Tables!$B$3:$C$36, 2 ) &amp; IF( BR177&gt;=25, VLOOKUP( $BR177+9-24, Tables!$B$3:$C$36, 2 ), "" ) )</f>
        <v>A</v>
      </c>
      <c r="BT177" t="str">
        <f t="shared" ref="BT177:BT224" si="568" xml:space="preserve"> IF( BR177&lt;=$BN$174, VLOOKUP( BR177, $FB$4:$FF$125, 5 ), "" )</f>
        <v xml:space="preserve">Communicator </v>
      </c>
      <c r="BV177">
        <f xml:space="preserve"> C177</f>
        <v>0</v>
      </c>
      <c r="BW177" s="44" t="str">
        <f xml:space="preserve"> IF( AND(C177&gt;0,C177&lt;&gt;""), VLOOKUP( C177, $BL$177:$BN$206, 3, 0 ), "" )</f>
        <v/>
      </c>
      <c r="BX177" t="str">
        <f xml:space="preserve"> CONCATENATE( BZ177 &amp;IF(CA177&lt;&gt;"",", ","")&amp; CA177 &amp;IF(CB177&lt;&gt;"",", ","")&amp; CB177 &amp;IF(CC177&lt;&gt;"",", ","")&amp; CC177 &amp;IF(CD177&lt;&gt;"",", ","")&amp; CD177 )</f>
        <v/>
      </c>
      <c r="BZ177" t="str">
        <f xml:space="preserve"> IF( AND($BV177&lt;&gt;"",$BV177&gt;0), IF( $BW177&gt;=BZ$176,VLOOKUP($BV177+(BZ$176-1)*Compartments,$BR$177:$BT$224,3),""), "" )</f>
        <v/>
      </c>
      <c r="CA177" t="str">
        <f t="shared" ref="CA177:CD177" si="569" xml:space="preserve"> IF( AND($BV177&lt;&gt;"",$BV177&gt;0), IF( $BW177&gt;=CA$176,VLOOKUP($BV177+(CA$176-1)*Compartments,$BR$177:$BT$224,3),""), "" )</f>
        <v/>
      </c>
      <c r="CB177" t="str">
        <f t="shared" si="569"/>
        <v/>
      </c>
      <c r="CC177" t="str">
        <f t="shared" si="569"/>
        <v/>
      </c>
      <c r="CD177" t="str">
        <f t="shared" si="569"/>
        <v/>
      </c>
      <c r="CG177">
        <f>C177</f>
        <v>0</v>
      </c>
      <c r="CH177">
        <f xml:space="preserve">  IF( AND(C177&gt;0,C177&lt;&gt;""), VLOOKUP( C177, $BL$177:$BP$206, 5, 0 ), 0 )</f>
        <v>0</v>
      </c>
      <c r="CJ177">
        <v>1</v>
      </c>
      <c r="CK177" t="str">
        <f t="shared" ref="CK177:CK208" si="570" xml:space="preserve"> IF( CJ177&lt;=$BP$174, VLOOKUP( CJ177, $FD$4:$FF$125, 3 ), "" )</f>
        <v/>
      </c>
      <c r="DL177"/>
      <c r="ED177" s="44"/>
    </row>
    <row r="178" spans="1:134">
      <c r="A178">
        <f xml:space="preserve"> IF( A177&lt;&gt;"", IF( A177+1 &gt; (HitSpan+1), "", A177+1 ), "" )</f>
        <v>-4</v>
      </c>
      <c r="B178" s="239">
        <f t="shared" ref="B178:B199" si="571" xml:space="preserve"> IF( A178&lt;&gt;"", IF( AND( A178&lt;=(Compartments/2), A178&gt;-(Compartments/2) ), 1, 0 ), "" )</f>
        <v>0</v>
      </c>
      <c r="C178" s="44">
        <f t="shared" ref="C178:C199" si="572" xml:space="preserve"> IF( B178&lt;&gt;"", IF( B178&gt;0, C177+1, 0 ), "" )</f>
        <v>0</v>
      </c>
      <c r="D178" t="str">
        <f xml:space="preserve"> IF( AND($C178&lt;&gt;"", $C178&gt;0), IF( $CH178&gt;=D$176, VLOOKUP($C178+(D$176-1)*Compartments,$CJ$177:$CK$251,2), VLOOKUP( ($C178-1)*6+D$176-SUM($CH$177:$CH178), $AQ$177:$AT$377, 4 )), "" )</f>
        <v/>
      </c>
      <c r="F178" t="str">
        <f xml:space="preserve"> IF( AND($C178&lt;&gt;"", $C178&gt;0), IF( $CH178&gt;=F$176, VLOOKUP($C178+(F$176-1)*Compartments,$CJ$177:$CK$251,2), VLOOKUP( ($C178-1)*6+F$176-SUM($CH$177:$CH178), $AQ$177:$AT$377, 4 )), "" )</f>
        <v/>
      </c>
      <c r="I178" t="str">
        <f xml:space="preserve"> IF( AND($C178&lt;&gt;"", $C178&gt;0), IF( $CH178&gt;=I$176, VLOOKUP($C178+(I$176-1)*Compartments,$CJ$177:$CK$251,2), VLOOKUP( ($C178-1)*6+I$176-SUM($CH$177:$CH178), $AQ$177:$AT$377, 4 )), "" )</f>
        <v/>
      </c>
      <c r="K178" t="str">
        <f xml:space="preserve"> IF( AND($C178&lt;&gt;"", $C178&gt;0), IF( $CH178&gt;=K$176, VLOOKUP($C178+(K$176-1)*Compartments,$CJ$177:$CK$251,2), VLOOKUP( ($C178-1)*6+K$176-SUM($CH$177:$CH178), $AQ$177:$AT$377, 4 )), "" )</f>
        <v/>
      </c>
      <c r="M178" t="str">
        <f xml:space="preserve"> IF( AND($C178&lt;&gt;"", $C178&gt;0), IF( $CH178&gt;=M$176, VLOOKUP($C178+(M$176-1)*Compartments,$CJ$177:$CK$251,2), VLOOKUP( ($C178-1)*6+M$176-SUM($CH$177:$CH178), $AQ$177:$AT$377, 4 )), "" )</f>
        <v/>
      </c>
      <c r="P178" t="str">
        <f xml:space="preserve"> IF( AND($C178&lt;&gt;"", $C178&gt;0), IF( $CH178&gt;=P$176, VLOOKUP($C178+(P$176-1)*Compartments,$CJ$177:$CK$251,2), VLOOKUP( ($C178-1)*6+P$176-SUM($CH$177:$CH178), $AQ$177:$AT$377, 4 )), "" )</f>
        <v/>
      </c>
      <c r="R178" t="str">
        <f t="shared" ref="R178:R211" si="573">BX178</f>
        <v/>
      </c>
      <c r="T178" s="236"/>
      <c r="Y178"/>
      <c r="Z178"/>
      <c r="AA178"/>
      <c r="AL178">
        <f>AL177+AM177</f>
        <v>0</v>
      </c>
      <c r="AM178">
        <f>DZ2</f>
        <v>13</v>
      </c>
      <c r="AN178" t="s">
        <v>868</v>
      </c>
      <c r="AO178" s="123">
        <f t="shared" ref="AO178:AO190" si="574">AM178/HitSize</f>
        <v>3.9</v>
      </c>
      <c r="AQ178">
        <f xml:space="preserve"> IF( AQ177&lt;&gt;"", IF( AQ177&lt;$AR$175, AQ177+1, "" ), "" )</f>
        <v>2</v>
      </c>
      <c r="AR178" t="str">
        <f t="shared" ref="AR178:AR241" si="575" xml:space="preserve"> IF( AQ178&lt;&gt;"", IF( AND($AO$195&gt;0,AQ178&gt;=$AO$196,AQ178&lt;$AO$196+$AO$195), "JumpD", VLOOKUP( (AQ178-0.5-IF(AQ178&gt;$AO$196,$AO$195,0))*HitSize, $AL$177:$AN$190, 3 )), "" )</f>
        <v>Controls</v>
      </c>
      <c r="AS178">
        <f t="shared" ref="AS178:AS241" si="576" xml:space="preserve"> IF( AR178&lt;&gt;"", IF( AND( $AO$195&gt;0,AQ178=($AO$196+$AO$195)), IF(AR178=$AN$199,$AO$199+1,1), IF(AR178&lt;&gt;AR177,1,AS177+1)), "" )</f>
        <v>2</v>
      </c>
      <c r="AT178" t="str">
        <f t="shared" ref="AT178:AT241" si="577">CONCATENATE( AU178,AV178,AW178,AX178,AY178,AZ178,BA178,BB178,BC178,BD178,BE178,BF178,BG178,BH178 )</f>
        <v>Consoles</v>
      </c>
      <c r="AU178" t="str">
        <f t="shared" si="555"/>
        <v/>
      </c>
      <c r="AV178" t="str">
        <f t="shared" si="556"/>
        <v>Consoles</v>
      </c>
      <c r="AW178" t="str">
        <f t="shared" si="557"/>
        <v/>
      </c>
      <c r="AX178" t="str">
        <f t="shared" si="558"/>
        <v/>
      </c>
      <c r="AY178" t="str">
        <f t="shared" si="559"/>
        <v/>
      </c>
      <c r="AZ178" t="str">
        <f t="shared" si="560"/>
        <v/>
      </c>
      <c r="BA178" t="str">
        <f t="shared" si="561"/>
        <v/>
      </c>
      <c r="BB178" t="str">
        <f t="shared" si="562"/>
        <v/>
      </c>
      <c r="BC178" t="str">
        <f t="shared" si="563"/>
        <v/>
      </c>
      <c r="BD178" t="str">
        <f t="shared" si="564"/>
        <v/>
      </c>
      <c r="BE178" t="str">
        <f t="shared" si="565"/>
        <v/>
      </c>
      <c r="BF178" t="str">
        <f t="shared" si="566"/>
        <v/>
      </c>
      <c r="BG178" t="str">
        <f t="shared" ref="BG178:BG241" si="578" xml:space="preserve"> IF( $AR178=BG$176, $AR178, "" )</f>
        <v/>
      </c>
      <c r="BH178" t="str">
        <f t="shared" si="567"/>
        <v/>
      </c>
      <c r="BL178">
        <f xml:space="preserve"> IF( AND(BL177&lt;Compartments,BL177&gt;0), BL177+1, 0 )</f>
        <v>2</v>
      </c>
      <c r="BN178">
        <f t="shared" ref="BN178:BN206" si="579" xml:space="preserve"> IF( BL178&gt;0, QUOTIENT( $BN$174, Compartments ) + IF( BL178&lt;=MOD( $BN$174, Compartments ), 1, 0 ), 0 )</f>
        <v>1</v>
      </c>
      <c r="BP178">
        <f t="shared" ref="BP178:BP206" si="580" xml:space="preserve"> IF( BL178&gt;0, QUOTIENT( $BP$174, Compartments ) + IF( BL178&lt;=MOD( $BP$174, Compartments ), 1, 0 ), 0 )</f>
        <v>0</v>
      </c>
      <c r="BR178">
        <f>BR177+1</f>
        <v>2</v>
      </c>
      <c r="BS178" s="44" t="str">
        <f xml:space="preserve"> CONCATENATE( VLOOKUP( $BR178+9, Tables!$B$3:$C$36, 2 ) &amp; IF( BR178&gt;=25, VLOOKUP( $BR178+9-24, Tables!$B$3:$C$36, 2 ), "" ) )</f>
        <v>B</v>
      </c>
      <c r="BT178" t="str">
        <f t="shared" si="568"/>
        <v xml:space="preserve">Radar </v>
      </c>
      <c r="BV178">
        <f t="shared" ref="BV178:BV211" si="581" xml:space="preserve"> C178</f>
        <v>0</v>
      </c>
      <c r="BW178" s="44" t="str">
        <f t="shared" ref="BW178:BW211" si="582" xml:space="preserve"> IF( AND(C178&gt;0,C178&lt;&gt;""), VLOOKUP( C178, $BL$177:$BN$206, 3, 0 ), "" )</f>
        <v/>
      </c>
      <c r="BX178" t="str">
        <f t="shared" ref="BX178:BX211" si="583" xml:space="preserve"> CONCATENATE( BZ178 &amp;IF(CA178&lt;&gt;"",", ","")&amp; CA178 &amp;IF(CB178&lt;&gt;"",", ","")&amp; CB178 &amp;IF(CC178&lt;&gt;"",", ","")&amp; CC178 &amp;IF(CD178&lt;&gt;"",", ","")&amp; CD178 )</f>
        <v/>
      </c>
      <c r="BZ178" t="str">
        <f t="shared" ref="BZ178:CD211" si="584" xml:space="preserve"> IF( AND($BV178&lt;&gt;"",$BV178&gt;0), IF( $BW178&gt;=BZ$176,VLOOKUP($BV178+(BZ$176-1)*Compartments,$BR$177:$BT$224,3),""), "" )</f>
        <v/>
      </c>
      <c r="CA178" t="str">
        <f t="shared" si="584"/>
        <v/>
      </c>
      <c r="CB178" t="str">
        <f t="shared" si="584"/>
        <v/>
      </c>
      <c r="CC178" t="str">
        <f t="shared" si="584"/>
        <v/>
      </c>
      <c r="CD178" t="str">
        <f t="shared" si="584"/>
        <v/>
      </c>
      <c r="CG178">
        <f t="shared" ref="CG178:CG211" si="585">C178</f>
        <v>0</v>
      </c>
      <c r="CH178">
        <f t="shared" ref="CH178:CH211" si="586" xml:space="preserve">  IF( AND(C178&gt;0,C178&lt;&gt;""), VLOOKUP( C178, $BL$177:$BP$206, 5, 0 ), 0 )</f>
        <v>0</v>
      </c>
      <c r="CJ178">
        <f>CJ177+1</f>
        <v>2</v>
      </c>
      <c r="CK178" t="str">
        <f t="shared" si="570"/>
        <v/>
      </c>
      <c r="DL178"/>
      <c r="ED178" s="44"/>
    </row>
    <row r="179" spans="1:134">
      <c r="A179">
        <f t="shared" ref="A179:A199" si="587" xml:space="preserve"> IF( A178&lt;&gt;"", IF( A178+1 &gt; (HitSpan+1), "", A178+1 ), "" )</f>
        <v>-3</v>
      </c>
      <c r="B179" s="239">
        <f t="shared" si="571"/>
        <v>0</v>
      </c>
      <c r="C179" s="44">
        <f t="shared" si="572"/>
        <v>0</v>
      </c>
      <c r="D179" t="str">
        <f xml:space="preserve"> IF( AND($C179&lt;&gt;"", $C179&gt;0), IF( $CH179&gt;=D$176, VLOOKUP($C179+(D$176-1)*Compartments,$CJ$177:$CK$251,2), VLOOKUP( ($C179-1)*6+D$176-SUM($CH$177:$CH179), $AQ$177:$AT$377, 4 )), "" )</f>
        <v/>
      </c>
      <c r="F179" t="str">
        <f xml:space="preserve"> IF( AND($C179&lt;&gt;"", $C179&gt;0), IF( $CH179&gt;=F$176, VLOOKUP($C179+(F$176-1)*Compartments,$CJ$177:$CK$251,2), VLOOKUP( ($C179-1)*6+F$176-SUM($CH$177:$CH179), $AQ$177:$AT$377, 4 )), "" )</f>
        <v/>
      </c>
      <c r="I179" t="str">
        <f xml:space="preserve"> IF( AND($C179&lt;&gt;"", $C179&gt;0), IF( $CH179&gt;=I$176, VLOOKUP($C179+(I$176-1)*Compartments,$CJ$177:$CK$251,2), VLOOKUP( ($C179-1)*6+I$176-SUM($CH$177:$CH179), $AQ$177:$AT$377, 4 )), "" )</f>
        <v/>
      </c>
      <c r="K179" t="str">
        <f xml:space="preserve"> IF( AND($C179&lt;&gt;"", $C179&gt;0), IF( $CH179&gt;=K$176, VLOOKUP($C179+(K$176-1)*Compartments,$CJ$177:$CK$251,2), VLOOKUP( ($C179-1)*6+K$176-SUM($CH$177:$CH179), $AQ$177:$AT$377, 4 )), "" )</f>
        <v/>
      </c>
      <c r="M179" t="str">
        <f xml:space="preserve"> IF( AND($C179&lt;&gt;"", $C179&gt;0), IF( $CH179&gt;=M$176, VLOOKUP($C179+(M$176-1)*Compartments,$CJ$177:$CK$251,2), VLOOKUP( ($C179-1)*6+M$176-SUM($CH$177:$CH179), $AQ$177:$AT$377, 4 )), "" )</f>
        <v/>
      </c>
      <c r="P179" t="str">
        <f xml:space="preserve"> IF( AND($C179&lt;&gt;"", $C179&gt;0), IF( $CH179&gt;=P$176, VLOOKUP($C179+(P$176-1)*Compartments,$CJ$177:$CK$251,2), VLOOKUP( ($C179-1)*6+P$176-SUM($CH$177:$CH179), $AQ$177:$AT$377, 4 )), "" )</f>
        <v/>
      </c>
      <c r="R179" t="str">
        <f t="shared" si="573"/>
        <v/>
      </c>
      <c r="T179" s="236"/>
      <c r="Y179"/>
      <c r="Z179"/>
      <c r="AA179"/>
      <c r="AL179">
        <f t="shared" ref="AL179:AL192" si="588">AL178+AM178</f>
        <v>13</v>
      </c>
      <c r="AM179">
        <f>EB2</f>
        <v>12</v>
      </c>
      <c r="AN179" t="s">
        <v>307</v>
      </c>
      <c r="AO179" s="123">
        <f t="shared" si="574"/>
        <v>3.5999999999999996</v>
      </c>
      <c r="AQ179">
        <f t="shared" ref="AQ179:AQ242" si="589" xml:space="preserve"> IF( AQ178&lt;&gt;"", IF( AQ178&lt;$AR$175, AQ178+1, "" ), "" )</f>
        <v>3</v>
      </c>
      <c r="AR179" t="str">
        <f t="shared" si="575"/>
        <v>Controls</v>
      </c>
      <c r="AS179">
        <f t="shared" si="576"/>
        <v>3</v>
      </c>
      <c r="AT179" t="str">
        <f t="shared" si="577"/>
        <v>Consoles</v>
      </c>
      <c r="AU179" t="str">
        <f t="shared" si="555"/>
        <v/>
      </c>
      <c r="AV179" t="str">
        <f t="shared" si="556"/>
        <v>Consoles</v>
      </c>
      <c r="AW179" t="str">
        <f t="shared" si="557"/>
        <v/>
      </c>
      <c r="AX179" t="str">
        <f t="shared" si="558"/>
        <v/>
      </c>
      <c r="AY179" t="str">
        <f t="shared" si="559"/>
        <v/>
      </c>
      <c r="AZ179" t="str">
        <f t="shared" si="560"/>
        <v/>
      </c>
      <c r="BA179" t="str">
        <f t="shared" si="561"/>
        <v/>
      </c>
      <c r="BB179" t="str">
        <f t="shared" si="562"/>
        <v/>
      </c>
      <c r="BC179" t="str">
        <f t="shared" si="563"/>
        <v/>
      </c>
      <c r="BD179" t="str">
        <f t="shared" si="564"/>
        <v/>
      </c>
      <c r="BE179" t="str">
        <f t="shared" si="565"/>
        <v/>
      </c>
      <c r="BF179" t="str">
        <f t="shared" si="566"/>
        <v/>
      </c>
      <c r="BG179" t="str">
        <f t="shared" si="578"/>
        <v/>
      </c>
      <c r="BH179" t="str">
        <f t="shared" si="567"/>
        <v/>
      </c>
      <c r="BL179">
        <f t="shared" ref="BL179:BL206" si="590" xml:space="preserve"> IF( AND(BL178&lt;Compartments,BL178&gt;0), BL178+1, 0 )</f>
        <v>3</v>
      </c>
      <c r="BN179">
        <f t="shared" si="579"/>
        <v>1</v>
      </c>
      <c r="BP179">
        <f t="shared" si="580"/>
        <v>0</v>
      </c>
      <c r="BR179">
        <f t="shared" ref="BR179:BR224" si="591">BR178+1</f>
        <v>3</v>
      </c>
      <c r="BS179" s="44" t="str">
        <f xml:space="preserve"> CONCATENATE( VLOOKUP( $BR179+9, Tables!$B$3:$C$36, 2 ) &amp; IF( BR179&gt;=25, VLOOKUP( $BR179+9-24, Tables!$B$3:$C$36, 2 ), "" ) )</f>
        <v>C</v>
      </c>
      <c r="BT179" t="str">
        <f t="shared" si="568"/>
        <v xml:space="preserve">Scope </v>
      </c>
      <c r="BV179">
        <f t="shared" si="581"/>
        <v>0</v>
      </c>
      <c r="BW179" s="44" t="str">
        <f t="shared" si="582"/>
        <v/>
      </c>
      <c r="BX179" t="str">
        <f t="shared" si="583"/>
        <v/>
      </c>
      <c r="BZ179" t="str">
        <f t="shared" si="584"/>
        <v/>
      </c>
      <c r="CA179" t="str">
        <f t="shared" si="584"/>
        <v/>
      </c>
      <c r="CB179" t="str">
        <f t="shared" si="584"/>
        <v/>
      </c>
      <c r="CC179" t="str">
        <f t="shared" si="584"/>
        <v/>
      </c>
      <c r="CD179" t="str">
        <f t="shared" si="584"/>
        <v/>
      </c>
      <c r="CG179">
        <f t="shared" si="585"/>
        <v>0</v>
      </c>
      <c r="CH179">
        <f t="shared" si="586"/>
        <v>0</v>
      </c>
      <c r="CJ179">
        <f t="shared" ref="CJ179:CJ242" si="592">CJ178+1</f>
        <v>3</v>
      </c>
      <c r="CK179" t="str">
        <f t="shared" si="570"/>
        <v/>
      </c>
      <c r="DL179"/>
      <c r="ED179" s="44"/>
    </row>
    <row r="180" spans="1:134">
      <c r="A180">
        <f t="shared" si="587"/>
        <v>-2</v>
      </c>
      <c r="B180" s="239">
        <f t="shared" si="571"/>
        <v>1</v>
      </c>
      <c r="C180" s="44">
        <f t="shared" si="572"/>
        <v>1</v>
      </c>
      <c r="D180" t="str">
        <f xml:space="preserve"> IF( AND($C180&lt;&gt;"", $C180&gt;0), IF( $CH180&gt;=D$176, VLOOKUP($C180+(D$176-1)*Compartments,$CJ$177:$CK$251,2), VLOOKUP( ($C180-1)*6+D$176-SUM($CH$177:$CH180), $AQ$177:$AT$377, 4 )), "" )</f>
        <v>Consoles</v>
      </c>
      <c r="F180" t="str">
        <f xml:space="preserve"> IF( AND($C180&lt;&gt;"", $C180&gt;0), IF( $CH180&gt;=F$176, VLOOKUP($C180+(F$176-1)*Compartments,$CJ$177:$CK$251,2), VLOOKUP( ($C180-1)*6+F$176-SUM($CH$177:$CH180), $AQ$177:$AT$377, 4 )), "" )</f>
        <v>Consoles</v>
      </c>
      <c r="I180" t="str">
        <f xml:space="preserve"> IF( AND($C180&lt;&gt;"", $C180&gt;0), IF( $CH180&gt;=I$176, VLOOKUP($C180+(I$176-1)*Compartments,$CJ$177:$CK$251,2), VLOOKUP( ($C180-1)*6+I$176-SUM($CH$177:$CH180), $AQ$177:$AT$377, 4 )), "" )</f>
        <v>Consoles</v>
      </c>
      <c r="K180" t="str">
        <f xml:space="preserve"> IF( AND($C180&lt;&gt;"", $C180&gt;0), IF( $CH180&gt;=K$176, VLOOKUP($C180+(K$176-1)*Compartments,$CJ$177:$CK$251,2), VLOOKUP( ($C180-1)*6+K$176-SUM($CH$177:$CH180), $AQ$177:$AT$377, 4 )), "" )</f>
        <v>Consoles</v>
      </c>
      <c r="M180" t="str">
        <f xml:space="preserve"> IF( AND($C180&lt;&gt;"", $C180&gt;0), IF( $CH180&gt;=M$176, VLOOKUP($C180+(M$176-1)*Compartments,$CJ$177:$CK$251,2), VLOOKUP( ($C180-1)*6+M$176-SUM($CH$177:$CH180), $AQ$177:$AT$377, 4 )), "" )</f>
        <v>Cr Staterooms</v>
      </c>
      <c r="P180" t="str">
        <f xml:space="preserve"> IF( AND($C180&lt;&gt;"", $C180&gt;0), IF( $CH180&gt;=P$176, VLOOKUP($C180+(P$176-1)*Compartments,$CJ$177:$CK$251,2), VLOOKUP( ($C180-1)*6+P$176-SUM($CH$177:$CH180), $AQ$177:$AT$377, 4 )), "" )</f>
        <v>Cr Staterooms</v>
      </c>
      <c r="R180" t="str">
        <f t="shared" si="573"/>
        <v xml:space="preserve">Communicator </v>
      </c>
      <c r="T180" s="236"/>
      <c r="Y180"/>
      <c r="Z180"/>
      <c r="AA180"/>
      <c r="AL180">
        <f t="shared" si="588"/>
        <v>25</v>
      </c>
      <c r="AM180">
        <f>EF2</f>
        <v>2.6</v>
      </c>
      <c r="AN180" t="s">
        <v>354</v>
      </c>
      <c r="AO180" s="123">
        <f t="shared" si="574"/>
        <v>0.78</v>
      </c>
      <c r="AQ180">
        <f t="shared" si="589"/>
        <v>4</v>
      </c>
      <c r="AR180" t="str">
        <f t="shared" si="575"/>
        <v>Controls</v>
      </c>
      <c r="AS180">
        <f t="shared" si="576"/>
        <v>4</v>
      </c>
      <c r="AT180" t="str">
        <f t="shared" si="577"/>
        <v>Consoles</v>
      </c>
      <c r="AU180" t="str">
        <f t="shared" si="555"/>
        <v/>
      </c>
      <c r="AV180" t="str">
        <f t="shared" si="556"/>
        <v>Consoles</v>
      </c>
      <c r="AW180" t="str">
        <f t="shared" si="557"/>
        <v/>
      </c>
      <c r="AX180" t="str">
        <f t="shared" si="558"/>
        <v/>
      </c>
      <c r="AY180" t="str">
        <f t="shared" si="559"/>
        <v/>
      </c>
      <c r="AZ180" t="str">
        <f t="shared" si="560"/>
        <v/>
      </c>
      <c r="BA180" t="str">
        <f t="shared" si="561"/>
        <v/>
      </c>
      <c r="BB180" t="str">
        <f t="shared" si="562"/>
        <v/>
      </c>
      <c r="BC180" t="str">
        <f t="shared" si="563"/>
        <v/>
      </c>
      <c r="BD180" t="str">
        <f t="shared" si="564"/>
        <v/>
      </c>
      <c r="BE180" t="str">
        <f t="shared" si="565"/>
        <v/>
      </c>
      <c r="BF180" t="str">
        <f t="shared" si="566"/>
        <v/>
      </c>
      <c r="BG180" t="str">
        <f t="shared" si="578"/>
        <v/>
      </c>
      <c r="BH180" t="str">
        <f t="shared" si="567"/>
        <v/>
      </c>
      <c r="BL180">
        <f t="shared" si="590"/>
        <v>4</v>
      </c>
      <c r="BN180">
        <f t="shared" si="579"/>
        <v>0</v>
      </c>
      <c r="BP180">
        <f t="shared" si="580"/>
        <v>0</v>
      </c>
      <c r="BR180">
        <f t="shared" si="591"/>
        <v>4</v>
      </c>
      <c r="BS180" s="44" t="str">
        <f xml:space="preserve"> CONCATENATE( VLOOKUP( $BR180+9, Tables!$B$3:$C$36, 2 ) &amp; IF( BR180&gt;=25, VLOOKUP( $BR180+9-24, Tables!$B$3:$C$36, 2 ), "" ) )</f>
        <v>D</v>
      </c>
      <c r="BT180" t="str">
        <f t="shared" si="568"/>
        <v/>
      </c>
      <c r="BV180">
        <f t="shared" si="581"/>
        <v>1</v>
      </c>
      <c r="BW180" s="44">
        <f t="shared" si="582"/>
        <v>1</v>
      </c>
      <c r="BX180" t="str">
        <f t="shared" si="583"/>
        <v xml:space="preserve">Communicator </v>
      </c>
      <c r="BZ180" t="str">
        <f t="shared" si="584"/>
        <v xml:space="preserve">Communicator </v>
      </c>
      <c r="CA180" t="str">
        <f t="shared" si="584"/>
        <v/>
      </c>
      <c r="CB180" t="str">
        <f t="shared" si="584"/>
        <v/>
      </c>
      <c r="CC180" t="str">
        <f t="shared" si="584"/>
        <v/>
      </c>
      <c r="CD180" t="str">
        <f t="shared" si="584"/>
        <v/>
      </c>
      <c r="CG180">
        <f t="shared" si="585"/>
        <v>1</v>
      </c>
      <c r="CH180">
        <f t="shared" si="586"/>
        <v>0</v>
      </c>
      <c r="CJ180">
        <f t="shared" si="592"/>
        <v>4</v>
      </c>
      <c r="CK180" t="str">
        <f t="shared" si="570"/>
        <v/>
      </c>
      <c r="DL180"/>
      <c r="ED180" s="44"/>
    </row>
    <row r="181" spans="1:134">
      <c r="A181">
        <f t="shared" si="587"/>
        <v>-1</v>
      </c>
      <c r="B181" s="239">
        <f t="shared" si="571"/>
        <v>1</v>
      </c>
      <c r="C181" s="44">
        <f t="shared" si="572"/>
        <v>2</v>
      </c>
      <c r="D181" t="str">
        <f xml:space="preserve"> IF( AND($C181&lt;&gt;"", $C181&gt;0), IF( $CH181&gt;=D$176, VLOOKUP($C181+(D$176-1)*Compartments,$CJ$177:$CK$251,2), VLOOKUP( ($C181-1)*6+D$176-SUM($CH$177:$CH181), $AQ$177:$AT$377, 4 )), "" )</f>
        <v>Cr Common Areas</v>
      </c>
      <c r="F181" t="str">
        <f xml:space="preserve"> IF( AND($C181&lt;&gt;"", $C181&gt;0), IF( $CH181&gt;=F$176, VLOOKUP($C181+(F$176-1)*Compartments,$CJ$177:$CK$251,2), VLOOKUP( ($C181-1)*6+F$176-SUM($CH$177:$CH181), $AQ$177:$AT$377, 4 )), "" )</f>
        <v>Life Support</v>
      </c>
      <c r="I181" t="str">
        <f xml:space="preserve"> IF( AND($C181&lt;&gt;"", $C181&gt;0), IF( $CH181&gt;=I$176, VLOOKUP($C181+(I$176-1)*Compartments,$CJ$177:$CK$251,2), VLOOKUP( ($C181-1)*6+I$176-SUM($CH$177:$CH181), $AQ$177:$AT$377, 4 )), "" )</f>
        <v>Cargo</v>
      </c>
      <c r="K181" t="str">
        <f xml:space="preserve"> IF( AND($C181&lt;&gt;"", $C181&gt;0), IF( $CH181&gt;=K$176, VLOOKUP($C181+(K$176-1)*Compartments,$CJ$177:$CK$251,2), VLOOKUP( ($C181-1)*6+K$176-SUM($CH$177:$CH181), $AQ$177:$AT$377, 4 )), "" )</f>
        <v>Cargo</v>
      </c>
      <c r="M181" t="str">
        <f xml:space="preserve"> IF( AND($C181&lt;&gt;"", $C181&gt;0), IF( $CH181&gt;=M$176, VLOOKUP($C181+(M$176-1)*Compartments,$CJ$177:$CK$251,2), VLOOKUP( ($C181-1)*6+M$176-SUM($CH$177:$CH181), $AQ$177:$AT$377, 4 )), "" )</f>
        <v>Cargo</v>
      </c>
      <c r="P181" t="str">
        <f xml:space="preserve"> IF( AND($C181&lt;&gt;"", $C181&gt;0), IF( $CH181&gt;=P$176, VLOOKUP($C181+(P$176-1)*Compartments,$CJ$177:$CK$251,2), VLOOKUP( ($C181-1)*6+P$176-SUM($CH$177:$CH181), $AQ$177:$AT$377, 4 )), "" )</f>
        <v>JumpD</v>
      </c>
      <c r="R181" t="str">
        <f t="shared" si="573"/>
        <v xml:space="preserve">Radar </v>
      </c>
      <c r="T181" s="236"/>
      <c r="Y181"/>
      <c r="Z181"/>
      <c r="AA181"/>
      <c r="AL181">
        <f t="shared" si="588"/>
        <v>27.6</v>
      </c>
      <c r="AM181">
        <f>EH2</f>
        <v>0</v>
      </c>
      <c r="AN181" t="s">
        <v>1062</v>
      </c>
      <c r="AO181" s="123">
        <f t="shared" si="574"/>
        <v>0</v>
      </c>
      <c r="AQ181">
        <f t="shared" si="589"/>
        <v>5</v>
      </c>
      <c r="AR181" t="str">
        <f t="shared" si="575"/>
        <v>Crew Quarters</v>
      </c>
      <c r="AS181">
        <f t="shared" si="576"/>
        <v>1</v>
      </c>
      <c r="AT181" t="str">
        <f t="shared" si="577"/>
        <v>Cr Staterooms</v>
      </c>
      <c r="AU181" t="str">
        <f t="shared" si="555"/>
        <v/>
      </c>
      <c r="AV181" t="str">
        <f t="shared" si="556"/>
        <v/>
      </c>
      <c r="AW181" t="str">
        <f t="shared" si="557"/>
        <v>Cr Staterooms</v>
      </c>
      <c r="AX181" t="str">
        <f t="shared" si="558"/>
        <v/>
      </c>
      <c r="AY181" t="str">
        <f t="shared" si="559"/>
        <v/>
      </c>
      <c r="AZ181" t="str">
        <f t="shared" si="560"/>
        <v/>
      </c>
      <c r="BA181" t="str">
        <f t="shared" si="561"/>
        <v/>
      </c>
      <c r="BB181" t="str">
        <f t="shared" si="562"/>
        <v/>
      </c>
      <c r="BC181" t="str">
        <f t="shared" si="563"/>
        <v/>
      </c>
      <c r="BD181" t="str">
        <f t="shared" si="564"/>
        <v/>
      </c>
      <c r="BE181" t="str">
        <f t="shared" si="565"/>
        <v/>
      </c>
      <c r="BF181" t="str">
        <f t="shared" si="566"/>
        <v/>
      </c>
      <c r="BG181" t="str">
        <f t="shared" si="578"/>
        <v/>
      </c>
      <c r="BH181" t="str">
        <f t="shared" si="567"/>
        <v/>
      </c>
      <c r="BL181">
        <f t="shared" si="590"/>
        <v>5</v>
      </c>
      <c r="BN181">
        <f t="shared" si="579"/>
        <v>0</v>
      </c>
      <c r="BP181">
        <f t="shared" si="580"/>
        <v>0</v>
      </c>
      <c r="BR181">
        <f t="shared" si="591"/>
        <v>5</v>
      </c>
      <c r="BS181" s="44" t="str">
        <f xml:space="preserve"> CONCATENATE( VLOOKUP( $BR181+9, Tables!$B$3:$C$36, 2 ) &amp; IF( BR181&gt;=25, VLOOKUP( $BR181+9-24, Tables!$B$3:$C$36, 2 ), "" ) )</f>
        <v>E</v>
      </c>
      <c r="BT181" t="str">
        <f t="shared" si="568"/>
        <v/>
      </c>
      <c r="BV181">
        <f t="shared" si="581"/>
        <v>2</v>
      </c>
      <c r="BW181" s="44">
        <f t="shared" si="582"/>
        <v>1</v>
      </c>
      <c r="BX181" t="str">
        <f t="shared" si="583"/>
        <v xml:space="preserve">Radar </v>
      </c>
      <c r="BZ181" t="str">
        <f t="shared" si="584"/>
        <v xml:space="preserve">Radar </v>
      </c>
      <c r="CA181" t="str">
        <f t="shared" si="584"/>
        <v/>
      </c>
      <c r="CB181" t="str">
        <f t="shared" si="584"/>
        <v/>
      </c>
      <c r="CC181" t="str">
        <f t="shared" si="584"/>
        <v/>
      </c>
      <c r="CD181" t="str">
        <f t="shared" si="584"/>
        <v/>
      </c>
      <c r="CG181">
        <f t="shared" si="585"/>
        <v>2</v>
      </c>
      <c r="CH181">
        <f t="shared" si="586"/>
        <v>0</v>
      </c>
      <c r="CJ181">
        <f t="shared" si="592"/>
        <v>5</v>
      </c>
      <c r="CK181" t="str">
        <f t="shared" si="570"/>
        <v/>
      </c>
      <c r="DL181"/>
      <c r="ED181" s="44"/>
    </row>
    <row r="182" spans="1:134">
      <c r="A182">
        <f t="shared" si="587"/>
        <v>0</v>
      </c>
      <c r="B182" s="239">
        <f t="shared" si="571"/>
        <v>1</v>
      </c>
      <c r="C182" s="44">
        <f t="shared" si="572"/>
        <v>3</v>
      </c>
      <c r="D182" t="str">
        <f xml:space="preserve"> IF( AND($C182&lt;&gt;"", $C182&gt;0), IF( $CH182&gt;=D$176, VLOOKUP($C182+(D$176-1)*Compartments,$CJ$177:$CK$251,2), VLOOKUP( ($C182-1)*6+D$176-SUM($CH$177:$CH182), $AQ$177:$AT$377, 4 )), "" )</f>
        <v>JumpD</v>
      </c>
      <c r="F182" t="str">
        <f xml:space="preserve"> IF( AND($C182&lt;&gt;"", $C182&gt;0), IF( $CH182&gt;=F$176, VLOOKUP($C182+(F$176-1)*Compartments,$CJ$177:$CK$251,2), VLOOKUP( ($C182-1)*6+F$176-SUM($CH$177:$CH182), $AQ$177:$AT$377, 4 )), "" )</f>
        <v>JumpD</v>
      </c>
      <c r="I182" t="str">
        <f xml:space="preserve"> IF( AND($C182&lt;&gt;"", $C182&gt;0), IF( $CH182&gt;=I$176, VLOOKUP($C182+(I$176-1)*Compartments,$CJ$177:$CK$251,2), VLOOKUP( ($C182-1)*6+I$176-SUM($CH$177:$CH182), $AQ$177:$AT$377, 4 )), "" )</f>
        <v>Cargo</v>
      </c>
      <c r="K182" t="str">
        <f xml:space="preserve"> IF( AND($C182&lt;&gt;"", $C182&gt;0), IF( $CH182&gt;=K$176, VLOOKUP($C182+(K$176-1)*Compartments,$CJ$177:$CK$251,2), VLOOKUP( ($C182-1)*6+K$176-SUM($CH$177:$CH182), $AQ$177:$AT$377, 4 )), "" )</f>
        <v>Cargo</v>
      </c>
      <c r="M182" t="str">
        <f xml:space="preserve"> IF( AND($C182&lt;&gt;"", $C182&gt;0), IF( $CH182&gt;=M$176, VLOOKUP($C182+(M$176-1)*Compartments,$CJ$177:$CK$251,2), VLOOKUP( ($C182-1)*6+M$176-SUM($CH$177:$CH182), $AQ$177:$AT$377, 4 )), "" )</f>
        <v>Cargo</v>
      </c>
      <c r="P182" t="str">
        <f xml:space="preserve"> IF( AND($C182&lt;&gt;"", $C182&gt;0), IF( $CH182&gt;=P$176, VLOOKUP($C182+(P$176-1)*Compartments,$CJ$177:$CK$251,2), VLOOKUP( ($C182-1)*6+P$176-SUM($CH$177:$CH182), $AQ$177:$AT$377, 4 )), "" )</f>
        <v>Cargo</v>
      </c>
      <c r="R182" t="str">
        <f t="shared" si="573"/>
        <v xml:space="preserve">Scope </v>
      </c>
      <c r="T182" s="236"/>
      <c r="Y182"/>
      <c r="Z182"/>
      <c r="AA182"/>
      <c r="AL182">
        <f t="shared" si="588"/>
        <v>27.6</v>
      </c>
      <c r="AM182">
        <f>ED2</f>
        <v>0</v>
      </c>
      <c r="AN182" t="s">
        <v>718</v>
      </c>
      <c r="AO182" s="123">
        <f t="shared" si="574"/>
        <v>0</v>
      </c>
      <c r="AQ182">
        <f t="shared" si="589"/>
        <v>6</v>
      </c>
      <c r="AR182" t="str">
        <f t="shared" si="575"/>
        <v>Crew Quarters</v>
      </c>
      <c r="AS182">
        <f t="shared" si="576"/>
        <v>2</v>
      </c>
      <c r="AT182" t="str">
        <f t="shared" si="577"/>
        <v>Cr Staterooms</v>
      </c>
      <c r="AU182" t="str">
        <f t="shared" si="555"/>
        <v/>
      </c>
      <c r="AV182" t="str">
        <f t="shared" si="556"/>
        <v/>
      </c>
      <c r="AW182" t="str">
        <f t="shared" si="557"/>
        <v>Cr Staterooms</v>
      </c>
      <c r="AX182" t="str">
        <f t="shared" si="558"/>
        <v/>
      </c>
      <c r="AY182" t="str">
        <f t="shared" si="559"/>
        <v/>
      </c>
      <c r="AZ182" t="str">
        <f t="shared" si="560"/>
        <v/>
      </c>
      <c r="BA182" t="str">
        <f t="shared" si="561"/>
        <v/>
      </c>
      <c r="BB182" t="str">
        <f t="shared" si="562"/>
        <v/>
      </c>
      <c r="BC182" t="str">
        <f t="shared" si="563"/>
        <v/>
      </c>
      <c r="BD182" t="str">
        <f t="shared" si="564"/>
        <v/>
      </c>
      <c r="BE182" t="str">
        <f t="shared" si="565"/>
        <v/>
      </c>
      <c r="BF182" t="str">
        <f t="shared" si="566"/>
        <v/>
      </c>
      <c r="BG182" t="str">
        <f t="shared" si="578"/>
        <v/>
      </c>
      <c r="BH182" t="str">
        <f t="shared" si="567"/>
        <v/>
      </c>
      <c r="BL182">
        <f t="shared" si="590"/>
        <v>0</v>
      </c>
      <c r="BN182">
        <f t="shared" si="579"/>
        <v>0</v>
      </c>
      <c r="BP182">
        <f t="shared" si="580"/>
        <v>0</v>
      </c>
      <c r="BR182">
        <f t="shared" si="591"/>
        <v>6</v>
      </c>
      <c r="BS182" s="44" t="str">
        <f xml:space="preserve"> CONCATENATE( VLOOKUP( $BR182+9, Tables!$B$3:$C$36, 2 ) &amp; IF( BR182&gt;=25, VLOOKUP( $BR182+9-24, Tables!$B$3:$C$36, 2 ), "" ) )</f>
        <v>F</v>
      </c>
      <c r="BT182" t="str">
        <f t="shared" si="568"/>
        <v/>
      </c>
      <c r="BV182">
        <f t="shared" si="581"/>
        <v>3</v>
      </c>
      <c r="BW182" s="44">
        <f t="shared" si="582"/>
        <v>1</v>
      </c>
      <c r="BX182" t="str">
        <f t="shared" si="583"/>
        <v xml:space="preserve">Scope </v>
      </c>
      <c r="BZ182" t="str">
        <f t="shared" si="584"/>
        <v xml:space="preserve">Scope </v>
      </c>
      <c r="CA182" t="str">
        <f t="shared" si="584"/>
        <v/>
      </c>
      <c r="CB182" t="str">
        <f t="shared" si="584"/>
        <v/>
      </c>
      <c r="CC182" t="str">
        <f t="shared" si="584"/>
        <v/>
      </c>
      <c r="CD182" t="str">
        <f t="shared" si="584"/>
        <v/>
      </c>
      <c r="CG182">
        <f t="shared" si="585"/>
        <v>3</v>
      </c>
      <c r="CH182">
        <f t="shared" si="586"/>
        <v>0</v>
      </c>
      <c r="CJ182">
        <f t="shared" si="592"/>
        <v>6</v>
      </c>
      <c r="CK182" t="str">
        <f t="shared" si="570"/>
        <v/>
      </c>
      <c r="DL182"/>
      <c r="ED182" s="44"/>
    </row>
    <row r="183" spans="1:134">
      <c r="A183">
        <f t="shared" si="587"/>
        <v>1</v>
      </c>
      <c r="B183" s="239">
        <f t="shared" si="571"/>
        <v>1</v>
      </c>
      <c r="C183" s="44">
        <f t="shared" si="572"/>
        <v>4</v>
      </c>
      <c r="D183" t="str">
        <f xml:space="preserve"> IF( AND($C183&lt;&gt;"", $C183&gt;0), IF( $CH183&gt;=D$176, VLOOKUP($C183+(D$176-1)*Compartments,$CJ$177:$CK$251,2), VLOOKUP( ($C183-1)*6+D$176-SUM($CH$177:$CH183), $AQ$177:$AT$377, 4 )), "" )</f>
        <v>Cargo</v>
      </c>
      <c r="F183" t="str">
        <f xml:space="preserve"> IF( AND($C183&lt;&gt;"", $C183&gt;0), IF( $CH183&gt;=F$176, VLOOKUP($C183+(F$176-1)*Compartments,$CJ$177:$CK$251,2), VLOOKUP( ($C183-1)*6+F$176-SUM($CH$177:$CH183), $AQ$177:$AT$377, 4 )), "" )</f>
        <v>Cargo</v>
      </c>
      <c r="I183" t="str">
        <f xml:space="preserve"> IF( AND($C183&lt;&gt;"", $C183&gt;0), IF( $CH183&gt;=I$176, VLOOKUP($C183+(I$176-1)*Compartments,$CJ$177:$CK$251,2), VLOOKUP( ($C183-1)*6+I$176-SUM($CH$177:$CH183), $AQ$177:$AT$377, 4 )), "" )</f>
        <v>Spare Space</v>
      </c>
      <c r="K183" t="str">
        <f xml:space="preserve"> IF( AND($C183&lt;&gt;"", $C183&gt;0), IF( $CH183&gt;=K$176, VLOOKUP($C183+(K$176-1)*Compartments,$CJ$177:$CK$251,2), VLOOKUP( ($C183-1)*6+K$176-SUM($CH$177:$CH183), $AQ$177:$AT$377, 4 )), "" )</f>
        <v>Fuel, Jump</v>
      </c>
      <c r="M183" t="str">
        <f xml:space="preserve"> IF( AND($C183&lt;&gt;"", $C183&gt;0), IF( $CH183&gt;=M$176, VLOOKUP($C183+(M$176-1)*Compartments,$CJ$177:$CK$251,2), VLOOKUP( ($C183-1)*6+M$176-SUM($CH$177:$CH183), $AQ$177:$AT$377, 4 )), "" )</f>
        <v>Fuel, Jump</v>
      </c>
      <c r="P183" t="str">
        <f xml:space="preserve"> IF( AND($C183&lt;&gt;"", $C183&gt;0), IF( $CH183&gt;=P$176, VLOOKUP($C183+(P$176-1)*Compartments,$CJ$177:$CK$251,2), VLOOKUP( ($C183-1)*6+P$176-SUM($CH$177:$CH183), $AQ$177:$AT$377, 4 )), "" )</f>
        <v>Fuel, Jump</v>
      </c>
      <c r="R183" t="str">
        <f t="shared" si="573"/>
        <v/>
      </c>
      <c r="T183" s="236"/>
      <c r="Y183"/>
      <c r="Z183"/>
      <c r="AA183"/>
      <c r="AL183">
        <f t="shared" si="588"/>
        <v>27.6</v>
      </c>
      <c r="AM183">
        <f>EN2</f>
        <v>0</v>
      </c>
      <c r="AN183" t="s">
        <v>1089</v>
      </c>
      <c r="AO183" s="123">
        <f t="shared" si="574"/>
        <v>0</v>
      </c>
      <c r="AQ183">
        <f t="shared" si="589"/>
        <v>7</v>
      </c>
      <c r="AR183" t="str">
        <f t="shared" si="575"/>
        <v>Crew Quarters</v>
      </c>
      <c r="AS183">
        <f t="shared" si="576"/>
        <v>3</v>
      </c>
      <c r="AT183" t="str">
        <f t="shared" si="577"/>
        <v>Cr Common Areas</v>
      </c>
      <c r="AU183" t="str">
        <f t="shared" si="555"/>
        <v/>
      </c>
      <c r="AV183" t="str">
        <f t="shared" si="556"/>
        <v/>
      </c>
      <c r="AW183" t="str">
        <f t="shared" si="557"/>
        <v>Cr Common Areas</v>
      </c>
      <c r="AX183" t="str">
        <f t="shared" si="558"/>
        <v/>
      </c>
      <c r="AY183" t="str">
        <f t="shared" si="559"/>
        <v/>
      </c>
      <c r="AZ183" t="str">
        <f t="shared" si="560"/>
        <v/>
      </c>
      <c r="BA183" t="str">
        <f t="shared" si="561"/>
        <v/>
      </c>
      <c r="BB183" t="str">
        <f t="shared" si="562"/>
        <v/>
      </c>
      <c r="BC183" t="str">
        <f t="shared" si="563"/>
        <v/>
      </c>
      <c r="BD183" t="str">
        <f t="shared" si="564"/>
        <v/>
      </c>
      <c r="BE183" t="str">
        <f t="shared" si="565"/>
        <v/>
      </c>
      <c r="BF183" t="str">
        <f t="shared" si="566"/>
        <v/>
      </c>
      <c r="BG183" t="str">
        <f t="shared" si="578"/>
        <v/>
      </c>
      <c r="BH183" t="str">
        <f t="shared" si="567"/>
        <v/>
      </c>
      <c r="BL183">
        <f t="shared" si="590"/>
        <v>0</v>
      </c>
      <c r="BN183">
        <f t="shared" si="579"/>
        <v>0</v>
      </c>
      <c r="BP183">
        <f t="shared" si="580"/>
        <v>0</v>
      </c>
      <c r="BR183">
        <f t="shared" si="591"/>
        <v>7</v>
      </c>
      <c r="BS183" s="44" t="str">
        <f xml:space="preserve"> CONCATENATE( VLOOKUP( $BR183+9, Tables!$B$3:$C$36, 2 ) &amp; IF( BR183&gt;=25, VLOOKUP( $BR183+9-24, Tables!$B$3:$C$36, 2 ), "" ) )</f>
        <v>G</v>
      </c>
      <c r="BT183" t="str">
        <f t="shared" si="568"/>
        <v/>
      </c>
      <c r="BV183">
        <f t="shared" si="581"/>
        <v>4</v>
      </c>
      <c r="BW183" s="44">
        <f t="shared" si="582"/>
        <v>0</v>
      </c>
      <c r="BX183" t="str">
        <f t="shared" si="583"/>
        <v/>
      </c>
      <c r="BZ183" t="str">
        <f t="shared" si="584"/>
        <v/>
      </c>
      <c r="CA183" t="str">
        <f t="shared" si="584"/>
        <v/>
      </c>
      <c r="CB183" t="str">
        <f t="shared" si="584"/>
        <v/>
      </c>
      <c r="CC183" t="str">
        <f t="shared" si="584"/>
        <v/>
      </c>
      <c r="CD183" t="str">
        <f t="shared" si="584"/>
        <v/>
      </c>
      <c r="CG183">
        <f t="shared" si="585"/>
        <v>4</v>
      </c>
      <c r="CH183">
        <f t="shared" si="586"/>
        <v>0</v>
      </c>
      <c r="CJ183">
        <f t="shared" si="592"/>
        <v>7</v>
      </c>
      <c r="CK183" t="str">
        <f t="shared" si="570"/>
        <v/>
      </c>
      <c r="DL183"/>
      <c r="ED183" s="44"/>
    </row>
    <row r="184" spans="1:134">
      <c r="A184">
        <f t="shared" si="587"/>
        <v>2</v>
      </c>
      <c r="B184" s="239">
        <f t="shared" si="571"/>
        <v>1</v>
      </c>
      <c r="C184" s="44">
        <f t="shared" si="572"/>
        <v>5</v>
      </c>
      <c r="D184" t="str">
        <f xml:space="preserve"> IF( AND($C184&lt;&gt;"", $C184&gt;0), IF( $CH184&gt;=D$176, VLOOKUP($C184+(D$176-1)*Compartments,$CJ$177:$CK$251,2), VLOOKUP( ($C184-1)*6+D$176-SUM($CH$177:$CH184), $AQ$177:$AT$377, 4 )), "" )</f>
        <v>Fuel, Jump</v>
      </c>
      <c r="F184" t="str">
        <f xml:space="preserve"> IF( AND($C184&lt;&gt;"", $C184&gt;0), IF( $CH184&gt;=F$176, VLOOKUP($C184+(F$176-1)*Compartments,$CJ$177:$CK$251,2), VLOOKUP( ($C184-1)*6+F$176-SUM($CH$177:$CH184), $AQ$177:$AT$377, 4 )), "" )</f>
        <v>Fuel, Jump</v>
      </c>
      <c r="I184" t="str">
        <f xml:space="preserve"> IF( AND($C184&lt;&gt;"", $C184&gt;0), IF( $CH184&gt;=I$176, VLOOKUP($C184+(I$176-1)*Compartments,$CJ$177:$CK$251,2), VLOOKUP( ($C184-1)*6+I$176-SUM($CH$177:$CH184), $AQ$177:$AT$377, 4 )), "" )</f>
        <v>Fuel, Jump</v>
      </c>
      <c r="K184" t="str">
        <f xml:space="preserve"> IF( AND($C184&lt;&gt;"", $C184&gt;0), IF( $CH184&gt;=K$176, VLOOKUP($C184+(K$176-1)*Compartments,$CJ$177:$CK$251,2), VLOOKUP( ($C184-1)*6+K$176-SUM($CH$177:$CH184), $AQ$177:$AT$377, 4 )), "" )</f>
        <v>Fuel, Power</v>
      </c>
      <c r="M184" t="str">
        <f xml:space="preserve"> IF( AND($C184&lt;&gt;"", $C184&gt;0), IF( $CH184&gt;=M$176, VLOOKUP($C184+(M$176-1)*Compartments,$CJ$177:$CK$251,2), VLOOKUP( ($C184-1)*6+M$176-SUM($CH$177:$CH184), $AQ$177:$AT$377, 4 )), "" )</f>
        <v>Fusion</v>
      </c>
      <c r="P184" t="str">
        <f xml:space="preserve"> IF( AND($C184&lt;&gt;"", $C184&gt;0), IF( $CH184&gt;=P$176, VLOOKUP($C184+(P$176-1)*Compartments,$CJ$177:$CK$251,2), VLOOKUP( ($C184-1)*6+P$176-SUM($CH$177:$CH184), $AQ$177:$AT$377, 4 )), "" )</f>
        <v>Manœuvre</v>
      </c>
      <c r="R184" t="str">
        <f t="shared" si="573"/>
        <v/>
      </c>
      <c r="T184" s="236"/>
      <c r="Y184"/>
      <c r="Z184"/>
      <c r="AA184"/>
      <c r="AL184">
        <f t="shared" si="588"/>
        <v>27.6</v>
      </c>
      <c r="AM184">
        <f>EL2</f>
        <v>0</v>
      </c>
      <c r="AN184" t="s">
        <v>609</v>
      </c>
      <c r="AO184" s="123">
        <f t="shared" si="574"/>
        <v>0</v>
      </c>
      <c r="AQ184">
        <f t="shared" si="589"/>
        <v>8</v>
      </c>
      <c r="AR184" t="str">
        <f t="shared" si="575"/>
        <v>Life Support</v>
      </c>
      <c r="AS184">
        <f t="shared" si="576"/>
        <v>1</v>
      </c>
      <c r="AT184" t="str">
        <f t="shared" si="577"/>
        <v>Life Support</v>
      </c>
      <c r="AU184" t="str">
        <f t="shared" si="555"/>
        <v/>
      </c>
      <c r="AV184" t="str">
        <f t="shared" si="556"/>
        <v/>
      </c>
      <c r="AW184" t="str">
        <f t="shared" si="557"/>
        <v/>
      </c>
      <c r="AX184" t="str">
        <f t="shared" si="558"/>
        <v>Life Support</v>
      </c>
      <c r="AY184" t="str">
        <f t="shared" si="559"/>
        <v/>
      </c>
      <c r="AZ184" t="str">
        <f t="shared" si="560"/>
        <v/>
      </c>
      <c r="BA184" t="str">
        <f t="shared" si="561"/>
        <v/>
      </c>
      <c r="BB184" t="str">
        <f t="shared" si="562"/>
        <v/>
      </c>
      <c r="BC184" t="str">
        <f t="shared" si="563"/>
        <v/>
      </c>
      <c r="BD184" t="str">
        <f t="shared" si="564"/>
        <v/>
      </c>
      <c r="BE184" t="str">
        <f t="shared" si="565"/>
        <v/>
      </c>
      <c r="BF184" t="str">
        <f t="shared" si="566"/>
        <v/>
      </c>
      <c r="BG184" t="str">
        <f t="shared" si="578"/>
        <v/>
      </c>
      <c r="BH184" t="str">
        <f t="shared" si="567"/>
        <v/>
      </c>
      <c r="BL184">
        <f t="shared" si="590"/>
        <v>0</v>
      </c>
      <c r="BN184">
        <f t="shared" si="579"/>
        <v>0</v>
      </c>
      <c r="BP184">
        <f t="shared" si="580"/>
        <v>0</v>
      </c>
      <c r="BR184">
        <f t="shared" si="591"/>
        <v>8</v>
      </c>
      <c r="BS184" s="44" t="str">
        <f xml:space="preserve"> CONCATENATE( VLOOKUP( $BR184+9, Tables!$B$3:$C$36, 2 ) &amp; IF( BR184&gt;=25, VLOOKUP( $BR184+9-24, Tables!$B$3:$C$36, 2 ), "" ) )</f>
        <v>H</v>
      </c>
      <c r="BT184" t="str">
        <f t="shared" si="568"/>
        <v/>
      </c>
      <c r="BV184">
        <f t="shared" si="581"/>
        <v>5</v>
      </c>
      <c r="BW184" s="44">
        <f t="shared" si="582"/>
        <v>0</v>
      </c>
      <c r="BX184" t="str">
        <f t="shared" si="583"/>
        <v/>
      </c>
      <c r="BZ184" t="str">
        <f t="shared" si="584"/>
        <v/>
      </c>
      <c r="CA184" t="str">
        <f t="shared" si="584"/>
        <v/>
      </c>
      <c r="CB184" t="str">
        <f t="shared" si="584"/>
        <v/>
      </c>
      <c r="CC184" t="str">
        <f t="shared" si="584"/>
        <v/>
      </c>
      <c r="CD184" t="str">
        <f t="shared" si="584"/>
        <v/>
      </c>
      <c r="CG184">
        <f t="shared" si="585"/>
        <v>5</v>
      </c>
      <c r="CH184">
        <f t="shared" si="586"/>
        <v>0</v>
      </c>
      <c r="CJ184">
        <f t="shared" si="592"/>
        <v>8</v>
      </c>
      <c r="CK184" t="str">
        <f t="shared" si="570"/>
        <v/>
      </c>
      <c r="DL184"/>
      <c r="ED184" s="44"/>
    </row>
    <row r="185" spans="1:134">
      <c r="A185">
        <f t="shared" si="587"/>
        <v>3</v>
      </c>
      <c r="B185" s="239">
        <f t="shared" si="571"/>
        <v>0</v>
      </c>
      <c r="C185" s="44">
        <f t="shared" si="572"/>
        <v>0</v>
      </c>
      <c r="D185" t="str">
        <f xml:space="preserve"> IF( AND($C185&lt;&gt;"", $C185&gt;0), IF( $CH185&gt;=D$176, VLOOKUP($C185+(D$176-1)*Compartments,$CJ$177:$CK$251,2), VLOOKUP( ($C185-1)*6+D$176-SUM($CH$177:$CH185), $AQ$177:$AT$377, 4 )), "" )</f>
        <v/>
      </c>
      <c r="F185" t="str">
        <f xml:space="preserve"> IF( AND($C185&lt;&gt;"", $C185&gt;0), IF( $CH185&gt;=F$176, VLOOKUP($C185+(F$176-1)*Compartments,$CJ$177:$CK$251,2), VLOOKUP( ($C185-1)*6+F$176-SUM($CH$177:$CH185), $AQ$177:$AT$377, 4 )), "" )</f>
        <v/>
      </c>
      <c r="I185" t="str">
        <f xml:space="preserve"> IF( AND($C185&lt;&gt;"", $C185&gt;0), IF( $CH185&gt;=I$176, VLOOKUP($C185+(I$176-1)*Compartments,$CJ$177:$CK$251,2), VLOOKUP( ($C185-1)*6+I$176-SUM($CH$177:$CH185), $AQ$177:$AT$377, 4 )), "" )</f>
        <v/>
      </c>
      <c r="K185" t="str">
        <f xml:space="preserve"> IF( AND($C185&lt;&gt;"", $C185&gt;0), IF( $CH185&gt;=K$176, VLOOKUP($C185+(K$176-1)*Compartments,$CJ$177:$CK$251,2), VLOOKUP( ($C185-1)*6+K$176-SUM($CH$177:$CH185), $AQ$177:$AT$377, 4 )), "" )</f>
        <v/>
      </c>
      <c r="M185" t="str">
        <f xml:space="preserve"> IF( AND($C185&lt;&gt;"", $C185&gt;0), IF( $CH185&gt;=M$176, VLOOKUP($C185+(M$176-1)*Compartments,$CJ$177:$CK$251,2), VLOOKUP( ($C185-1)*6+M$176-SUM($CH$177:$CH185), $AQ$177:$AT$377, 4 )), "" )</f>
        <v/>
      </c>
      <c r="P185" t="str">
        <f xml:space="preserve"> IF( AND($C185&lt;&gt;"", $C185&gt;0), IF( $CH185&gt;=P$176, VLOOKUP($C185+(P$176-1)*Compartments,$CJ$177:$CK$251,2), VLOOKUP( ($C185-1)*6+P$176-SUM($CH$177:$CH185), $AQ$177:$AT$377, 4 )), "" )</f>
        <v/>
      </c>
      <c r="R185" t="str">
        <f t="shared" si="573"/>
        <v/>
      </c>
      <c r="T185" s="236"/>
      <c r="Y185"/>
      <c r="Z185"/>
      <c r="AA185"/>
      <c r="AL185">
        <f t="shared" si="588"/>
        <v>27.6</v>
      </c>
      <c r="AM185">
        <f>EJ2</f>
        <v>32.4</v>
      </c>
      <c r="AN185" t="s">
        <v>619</v>
      </c>
      <c r="AO185" s="123">
        <f t="shared" si="574"/>
        <v>9.7199999999999989</v>
      </c>
      <c r="AQ185">
        <f t="shared" si="589"/>
        <v>9</v>
      </c>
      <c r="AR185" t="str">
        <f t="shared" si="575"/>
        <v>Cargo</v>
      </c>
      <c r="AS185">
        <f t="shared" si="576"/>
        <v>1</v>
      </c>
      <c r="AT185" t="str">
        <f t="shared" si="577"/>
        <v>Cargo</v>
      </c>
      <c r="AU185" t="str">
        <f t="shared" si="555"/>
        <v/>
      </c>
      <c r="AV185" t="str">
        <f t="shared" si="556"/>
        <v/>
      </c>
      <c r="AW185" t="str">
        <f t="shared" si="557"/>
        <v/>
      </c>
      <c r="AX185" t="str">
        <f t="shared" si="558"/>
        <v/>
      </c>
      <c r="AY185" t="str">
        <f t="shared" si="559"/>
        <v/>
      </c>
      <c r="AZ185" t="str">
        <f t="shared" si="560"/>
        <v/>
      </c>
      <c r="BA185" t="str">
        <f t="shared" si="561"/>
        <v/>
      </c>
      <c r="BB185" t="str">
        <f t="shared" si="562"/>
        <v/>
      </c>
      <c r="BC185" t="str">
        <f t="shared" si="563"/>
        <v>Cargo</v>
      </c>
      <c r="BD185" t="str">
        <f t="shared" si="564"/>
        <v/>
      </c>
      <c r="BE185" t="str">
        <f t="shared" si="565"/>
        <v/>
      </c>
      <c r="BF185" t="str">
        <f t="shared" si="566"/>
        <v/>
      </c>
      <c r="BG185" t="str">
        <f t="shared" si="578"/>
        <v/>
      </c>
      <c r="BH185" t="str">
        <f t="shared" si="567"/>
        <v/>
      </c>
      <c r="BL185">
        <f t="shared" si="590"/>
        <v>0</v>
      </c>
      <c r="BN185">
        <f t="shared" si="579"/>
        <v>0</v>
      </c>
      <c r="BP185">
        <f t="shared" si="580"/>
        <v>0</v>
      </c>
      <c r="BR185">
        <f t="shared" si="591"/>
        <v>9</v>
      </c>
      <c r="BS185" s="44" t="str">
        <f xml:space="preserve"> CONCATENATE( VLOOKUP( $BR185+9, Tables!$B$3:$C$36, 2 ) &amp; IF( BR185&gt;=25, VLOOKUP( $BR185+9-24, Tables!$B$3:$C$36, 2 ), "" ) )</f>
        <v>J</v>
      </c>
      <c r="BT185" t="str">
        <f t="shared" si="568"/>
        <v/>
      </c>
      <c r="BV185">
        <f t="shared" si="581"/>
        <v>0</v>
      </c>
      <c r="BW185" s="44" t="str">
        <f t="shared" si="582"/>
        <v/>
      </c>
      <c r="BX185" t="str">
        <f t="shared" si="583"/>
        <v/>
      </c>
      <c r="BZ185" t="str">
        <f t="shared" si="584"/>
        <v/>
      </c>
      <c r="CA185" t="str">
        <f t="shared" si="584"/>
        <v/>
      </c>
      <c r="CB185" t="str">
        <f t="shared" si="584"/>
        <v/>
      </c>
      <c r="CC185" t="str">
        <f t="shared" si="584"/>
        <v/>
      </c>
      <c r="CD185" t="str">
        <f t="shared" si="584"/>
        <v/>
      </c>
      <c r="CG185">
        <f t="shared" si="585"/>
        <v>0</v>
      </c>
      <c r="CH185">
        <f t="shared" si="586"/>
        <v>0</v>
      </c>
      <c r="CJ185">
        <f t="shared" si="592"/>
        <v>9</v>
      </c>
      <c r="CK185" t="str">
        <f t="shared" si="570"/>
        <v/>
      </c>
      <c r="DL185"/>
      <c r="ED185" s="44"/>
    </row>
    <row r="186" spans="1:134">
      <c r="A186">
        <f t="shared" si="587"/>
        <v>4</v>
      </c>
      <c r="B186" s="239">
        <f t="shared" si="571"/>
        <v>0</v>
      </c>
      <c r="C186" s="44">
        <f t="shared" si="572"/>
        <v>0</v>
      </c>
      <c r="D186" t="str">
        <f xml:space="preserve"> IF( AND($C186&lt;&gt;"", $C186&gt;0), IF( $CH186&gt;=D$176, VLOOKUP($C186+(D$176-1)*Compartments,$CJ$177:$CK$251,2), VLOOKUP( ($C186-1)*6+D$176-SUM($CH$177:$CH186), $AQ$177:$AT$377, 4 )), "" )</f>
        <v/>
      </c>
      <c r="F186" t="str">
        <f xml:space="preserve"> IF( AND($C186&lt;&gt;"", $C186&gt;0), IF( $CH186&gt;=F$176, VLOOKUP($C186+(F$176-1)*Compartments,$CJ$177:$CK$251,2), VLOOKUP( ($C186-1)*6+F$176-SUM($CH$177:$CH186), $AQ$177:$AT$377, 4 )), "" )</f>
        <v/>
      </c>
      <c r="I186" t="str">
        <f xml:space="preserve"> IF( AND($C186&lt;&gt;"", $C186&gt;0), IF( $CH186&gt;=I$176, VLOOKUP($C186+(I$176-1)*Compartments,$CJ$177:$CK$251,2), VLOOKUP( ($C186-1)*6+I$176-SUM($CH$177:$CH186), $AQ$177:$AT$377, 4 )), "" )</f>
        <v/>
      </c>
      <c r="K186" t="str">
        <f xml:space="preserve"> IF( AND($C186&lt;&gt;"", $C186&gt;0), IF( $CH186&gt;=K$176, VLOOKUP($C186+(K$176-1)*Compartments,$CJ$177:$CK$251,2), VLOOKUP( ($C186-1)*6+K$176-SUM($CH$177:$CH186), $AQ$177:$AT$377, 4 )), "" )</f>
        <v/>
      </c>
      <c r="M186" t="str">
        <f xml:space="preserve"> IF( AND($C186&lt;&gt;"", $C186&gt;0), IF( $CH186&gt;=M$176, VLOOKUP($C186+(M$176-1)*Compartments,$CJ$177:$CK$251,2), VLOOKUP( ($C186-1)*6+M$176-SUM($CH$177:$CH186), $AQ$177:$AT$377, 4 )), "" )</f>
        <v/>
      </c>
      <c r="P186" t="str">
        <f xml:space="preserve"> IF( AND($C186&lt;&gt;"", $C186&gt;0), IF( $CH186&gt;=P$176, VLOOKUP($C186+(P$176-1)*Compartments,$CJ$177:$CK$251,2), VLOOKUP( ($C186-1)*6+P$176-SUM($CH$177:$CH186), $AQ$177:$AT$377, 4 )), "" )</f>
        <v/>
      </c>
      <c r="R186" t="str">
        <f t="shared" si="573"/>
        <v/>
      </c>
      <c r="T186" s="236"/>
      <c r="Y186"/>
      <c r="Z186"/>
      <c r="AA186"/>
      <c r="AL186">
        <f t="shared" si="588"/>
        <v>60</v>
      </c>
      <c r="AM186">
        <f>EP2</f>
        <v>0</v>
      </c>
      <c r="AN186" t="s">
        <v>135</v>
      </c>
      <c r="AO186" s="123">
        <f t="shared" si="574"/>
        <v>0</v>
      </c>
      <c r="AQ186">
        <f t="shared" si="589"/>
        <v>10</v>
      </c>
      <c r="AR186" t="str">
        <f t="shared" si="575"/>
        <v>Cargo</v>
      </c>
      <c r="AS186">
        <f t="shared" si="576"/>
        <v>2</v>
      </c>
      <c r="AT186" t="str">
        <f t="shared" si="577"/>
        <v>Cargo</v>
      </c>
      <c r="AU186" t="str">
        <f t="shared" si="555"/>
        <v/>
      </c>
      <c r="AV186" t="str">
        <f t="shared" si="556"/>
        <v/>
      </c>
      <c r="AW186" t="str">
        <f t="shared" si="557"/>
        <v/>
      </c>
      <c r="AX186" t="str">
        <f t="shared" si="558"/>
        <v/>
      </c>
      <c r="AY186" t="str">
        <f t="shared" si="559"/>
        <v/>
      </c>
      <c r="AZ186" t="str">
        <f t="shared" si="560"/>
        <v/>
      </c>
      <c r="BA186" t="str">
        <f t="shared" si="561"/>
        <v/>
      </c>
      <c r="BB186" t="str">
        <f t="shared" si="562"/>
        <v/>
      </c>
      <c r="BC186" t="str">
        <f t="shared" si="563"/>
        <v>Cargo</v>
      </c>
      <c r="BD186" t="str">
        <f t="shared" si="564"/>
        <v/>
      </c>
      <c r="BE186" t="str">
        <f t="shared" si="565"/>
        <v/>
      </c>
      <c r="BF186" t="str">
        <f t="shared" si="566"/>
        <v/>
      </c>
      <c r="BG186" t="str">
        <f t="shared" si="578"/>
        <v/>
      </c>
      <c r="BH186" t="str">
        <f t="shared" si="567"/>
        <v/>
      </c>
      <c r="BL186">
        <f t="shared" si="590"/>
        <v>0</v>
      </c>
      <c r="BN186">
        <f t="shared" si="579"/>
        <v>0</v>
      </c>
      <c r="BP186">
        <f t="shared" si="580"/>
        <v>0</v>
      </c>
      <c r="BR186">
        <f t="shared" si="591"/>
        <v>10</v>
      </c>
      <c r="BS186" s="44" t="str">
        <f xml:space="preserve"> CONCATENATE( VLOOKUP( $BR186+9, Tables!$B$3:$C$36, 2 ) &amp; IF( BR186&gt;=25, VLOOKUP( $BR186+9-24, Tables!$B$3:$C$36, 2 ), "" ) )</f>
        <v>K</v>
      </c>
      <c r="BT186" t="str">
        <f t="shared" si="568"/>
        <v/>
      </c>
      <c r="BV186">
        <f t="shared" si="581"/>
        <v>0</v>
      </c>
      <c r="BW186" s="44" t="str">
        <f t="shared" si="582"/>
        <v/>
      </c>
      <c r="BX186" t="str">
        <f t="shared" si="583"/>
        <v/>
      </c>
      <c r="BZ186" t="str">
        <f t="shared" si="584"/>
        <v/>
      </c>
      <c r="CA186" t="str">
        <f t="shared" si="584"/>
        <v/>
      </c>
      <c r="CB186" t="str">
        <f t="shared" si="584"/>
        <v/>
      </c>
      <c r="CC186" t="str">
        <f t="shared" si="584"/>
        <v/>
      </c>
      <c r="CD186" t="str">
        <f t="shared" si="584"/>
        <v/>
      </c>
      <c r="CG186">
        <f t="shared" si="585"/>
        <v>0</v>
      </c>
      <c r="CH186">
        <f t="shared" si="586"/>
        <v>0</v>
      </c>
      <c r="CJ186">
        <f t="shared" si="592"/>
        <v>10</v>
      </c>
      <c r="CK186" t="str">
        <f t="shared" si="570"/>
        <v/>
      </c>
      <c r="DL186"/>
      <c r="ED186" s="44"/>
    </row>
    <row r="187" spans="1:134">
      <c r="A187">
        <f t="shared" si="587"/>
        <v>5</v>
      </c>
      <c r="B187" s="239">
        <f t="shared" si="571"/>
        <v>0</v>
      </c>
      <c r="C187" s="44">
        <f t="shared" si="572"/>
        <v>0</v>
      </c>
      <c r="D187" t="str">
        <f xml:space="preserve"> IF( AND($C187&lt;&gt;"", $C187&gt;0), IF( $CH187&gt;=D$176, VLOOKUP($C187+(D$176-1)*Compartments,$CJ$177:$CK$251,2), VLOOKUP( ($C187-1)*6+D$176-SUM($CH$177:$CH187), $AQ$177:$AT$377, 4 )), "" )</f>
        <v/>
      </c>
      <c r="F187" t="str">
        <f xml:space="preserve"> IF( AND($C187&lt;&gt;"", $C187&gt;0), IF( $CH187&gt;=F$176, VLOOKUP($C187+(F$176-1)*Compartments,$CJ$177:$CK$251,2), VLOOKUP( ($C187-1)*6+F$176-SUM($CH$177:$CH187), $AQ$177:$AT$377, 4 )), "" )</f>
        <v/>
      </c>
      <c r="I187" t="str">
        <f xml:space="preserve"> IF( AND($C187&lt;&gt;"", $C187&gt;0), IF( $CH187&gt;=I$176, VLOOKUP($C187+(I$176-1)*Compartments,$CJ$177:$CK$251,2), VLOOKUP( ($C187-1)*6+I$176-SUM($CH$177:$CH187), $AQ$177:$AT$377, 4 )), "" )</f>
        <v/>
      </c>
      <c r="K187" t="str">
        <f xml:space="preserve"> IF( AND($C187&lt;&gt;"", $C187&gt;0), IF( $CH187&gt;=K$176, VLOOKUP($C187+(K$176-1)*Compartments,$CJ$177:$CK$251,2), VLOOKUP( ($C187-1)*6+K$176-SUM($CH$177:$CH187), $AQ$177:$AT$377, 4 )), "" )</f>
        <v/>
      </c>
      <c r="M187" t="str">
        <f xml:space="preserve"> IF( AND($C187&lt;&gt;"", $C187&gt;0), IF( $CH187&gt;=M$176, VLOOKUP($C187+(M$176-1)*Compartments,$CJ$177:$CK$251,2), VLOOKUP( ($C187-1)*6+M$176-SUM($CH$177:$CH187), $AQ$177:$AT$377, 4 )), "" )</f>
        <v/>
      </c>
      <c r="P187" t="str">
        <f xml:space="preserve"> IF( AND($C187&lt;&gt;"", $C187&gt;0), IF( $CH187&gt;=P$176, VLOOKUP($C187+(P$176-1)*Compartments,$CJ$177:$CK$251,2), VLOOKUP( ($C187-1)*6+P$176-SUM($CH$177:$CH187), $AQ$177:$AT$377, 4 )), "" )</f>
        <v/>
      </c>
      <c r="R187" t="str">
        <f t="shared" si="573"/>
        <v/>
      </c>
      <c r="T187" s="236"/>
      <c r="Y187"/>
      <c r="Z187"/>
      <c r="AA187"/>
      <c r="AL187">
        <f t="shared" si="588"/>
        <v>60</v>
      </c>
      <c r="AM187">
        <f>ER2</f>
        <v>24</v>
      </c>
      <c r="AN187" t="s">
        <v>1025</v>
      </c>
      <c r="AO187" s="123">
        <f t="shared" si="574"/>
        <v>7.1999999999999993</v>
      </c>
      <c r="AQ187">
        <f t="shared" si="589"/>
        <v>11</v>
      </c>
      <c r="AR187" t="str">
        <f t="shared" si="575"/>
        <v>Cargo</v>
      </c>
      <c r="AS187">
        <f t="shared" si="576"/>
        <v>3</v>
      </c>
      <c r="AT187" t="str">
        <f t="shared" si="577"/>
        <v>Cargo</v>
      </c>
      <c r="AU187" t="str">
        <f t="shared" si="555"/>
        <v/>
      </c>
      <c r="AV187" t="str">
        <f t="shared" si="556"/>
        <v/>
      </c>
      <c r="AW187" t="str">
        <f t="shared" si="557"/>
        <v/>
      </c>
      <c r="AX187" t="str">
        <f t="shared" si="558"/>
        <v/>
      </c>
      <c r="AY187" t="str">
        <f t="shared" si="559"/>
        <v/>
      </c>
      <c r="AZ187" t="str">
        <f t="shared" si="560"/>
        <v/>
      </c>
      <c r="BA187" t="str">
        <f t="shared" si="561"/>
        <v/>
      </c>
      <c r="BB187" t="str">
        <f t="shared" si="562"/>
        <v/>
      </c>
      <c r="BC187" t="str">
        <f t="shared" si="563"/>
        <v>Cargo</v>
      </c>
      <c r="BD187" t="str">
        <f t="shared" si="564"/>
        <v/>
      </c>
      <c r="BE187" t="str">
        <f t="shared" si="565"/>
        <v/>
      </c>
      <c r="BF187" t="str">
        <f t="shared" si="566"/>
        <v/>
      </c>
      <c r="BG187" t="str">
        <f t="shared" si="578"/>
        <v/>
      </c>
      <c r="BH187" t="str">
        <f t="shared" si="567"/>
        <v/>
      </c>
      <c r="BL187">
        <f t="shared" si="590"/>
        <v>0</v>
      </c>
      <c r="BN187">
        <f t="shared" si="579"/>
        <v>0</v>
      </c>
      <c r="BP187">
        <f t="shared" si="580"/>
        <v>0</v>
      </c>
      <c r="BR187">
        <f t="shared" si="591"/>
        <v>11</v>
      </c>
      <c r="BS187" s="44" t="str">
        <f xml:space="preserve"> CONCATENATE( VLOOKUP( $BR187+9, Tables!$B$3:$C$36, 2 ) &amp; IF( BR187&gt;=25, VLOOKUP( $BR187+9-24, Tables!$B$3:$C$36, 2 ), "" ) )</f>
        <v>L</v>
      </c>
      <c r="BT187" t="str">
        <f t="shared" si="568"/>
        <v/>
      </c>
      <c r="BV187">
        <f t="shared" si="581"/>
        <v>0</v>
      </c>
      <c r="BW187" s="44" t="str">
        <f t="shared" si="582"/>
        <v/>
      </c>
      <c r="BX187" t="str">
        <f t="shared" si="583"/>
        <v/>
      </c>
      <c r="BZ187" t="str">
        <f t="shared" si="584"/>
        <v/>
      </c>
      <c r="CA187" t="str">
        <f t="shared" si="584"/>
        <v/>
      </c>
      <c r="CB187" t="str">
        <f t="shared" si="584"/>
        <v/>
      </c>
      <c r="CC187" t="str">
        <f t="shared" si="584"/>
        <v/>
      </c>
      <c r="CD187" t="str">
        <f t="shared" si="584"/>
        <v/>
      </c>
      <c r="CG187">
        <f t="shared" si="585"/>
        <v>0</v>
      </c>
      <c r="CH187">
        <f t="shared" si="586"/>
        <v>0</v>
      </c>
      <c r="CJ187">
        <f t="shared" si="592"/>
        <v>11</v>
      </c>
      <c r="CK187" t="str">
        <f t="shared" si="570"/>
        <v/>
      </c>
      <c r="DL187"/>
      <c r="ED187" s="44"/>
    </row>
    <row r="188" spans="1:134">
      <c r="A188" t="str">
        <f t="shared" si="587"/>
        <v/>
      </c>
      <c r="B188" s="239" t="str">
        <f t="shared" si="571"/>
        <v/>
      </c>
      <c r="C188" s="44" t="str">
        <f t="shared" si="572"/>
        <v/>
      </c>
      <c r="D188" t="str">
        <f xml:space="preserve"> IF( AND($C188&lt;&gt;"", $C188&gt;0), IF( $CH188&gt;=D$176, VLOOKUP($C188+(D$176-1)*Compartments,$CJ$177:$CK$251,2), VLOOKUP( ($C188-1)*6+D$176-SUM($CH$177:$CH188), $AQ$177:$AT$377, 4 )), "" )</f>
        <v/>
      </c>
      <c r="F188" t="str">
        <f xml:space="preserve"> IF( AND($C188&lt;&gt;"", $C188&gt;0), IF( $CH188&gt;=F$176, VLOOKUP($C188+(F$176-1)*Compartments,$CJ$177:$CK$251,2), VLOOKUP( ($C188-1)*6+F$176-SUM($CH$177:$CH188), $AQ$177:$AT$377, 4 )), "" )</f>
        <v/>
      </c>
      <c r="I188" t="str">
        <f xml:space="preserve"> IF( AND($C188&lt;&gt;"", $C188&gt;0), IF( $CH188&gt;=I$176, VLOOKUP($C188+(I$176-1)*Compartments,$CJ$177:$CK$251,2), VLOOKUP( ($C188-1)*6+I$176-SUM($CH$177:$CH188), $AQ$177:$AT$377, 4 )), "" )</f>
        <v/>
      </c>
      <c r="K188" t="str">
        <f xml:space="preserve"> IF( AND($C188&lt;&gt;"", $C188&gt;0), IF( $CH188&gt;=K$176, VLOOKUP($C188+(K$176-1)*Compartments,$CJ$177:$CK$251,2), VLOOKUP( ($C188-1)*6+K$176-SUM($CH$177:$CH188), $AQ$177:$AT$377, 4 )), "" )</f>
        <v/>
      </c>
      <c r="M188" t="str">
        <f xml:space="preserve"> IF( AND($C188&lt;&gt;"", $C188&gt;0), IF( $CH188&gt;=M$176, VLOOKUP($C188+(M$176-1)*Compartments,$CJ$177:$CK$251,2), VLOOKUP( ($C188-1)*6+M$176-SUM($CH$177:$CH188), $AQ$177:$AT$377, 4 )), "" )</f>
        <v/>
      </c>
      <c r="P188" t="str">
        <f xml:space="preserve"> IF( AND($C188&lt;&gt;"", $C188&gt;0), IF( $CH188&gt;=P$176, VLOOKUP($C188+(P$176-1)*Compartments,$CJ$177:$CK$251,2), VLOOKUP( ($C188-1)*6+P$176-SUM($CH$177:$CH188), $AQ$177:$AT$377, 4 )), "" )</f>
        <v/>
      </c>
      <c r="R188" t="str">
        <f t="shared" si="573"/>
        <v/>
      </c>
      <c r="T188" s="236"/>
      <c r="Y188"/>
      <c r="Z188"/>
      <c r="AA188"/>
      <c r="AL188">
        <f t="shared" si="588"/>
        <v>84</v>
      </c>
      <c r="AM188">
        <f>ET2</f>
        <v>0</v>
      </c>
      <c r="AN188" t="s">
        <v>452</v>
      </c>
      <c r="AO188" s="123">
        <f t="shared" si="574"/>
        <v>0</v>
      </c>
      <c r="AQ188">
        <f t="shared" si="589"/>
        <v>12</v>
      </c>
      <c r="AR188" t="str">
        <f t="shared" si="575"/>
        <v>JumpD</v>
      </c>
      <c r="AS188">
        <f t="shared" si="576"/>
        <v>1</v>
      </c>
      <c r="AT188" t="str">
        <f t="shared" si="577"/>
        <v>JumpD</v>
      </c>
      <c r="AU188" t="str">
        <f t="shared" si="555"/>
        <v/>
      </c>
      <c r="AV188" t="str">
        <f t="shared" si="556"/>
        <v/>
      </c>
      <c r="AW188" t="str">
        <f t="shared" si="557"/>
        <v/>
      </c>
      <c r="AX188" t="str">
        <f t="shared" si="558"/>
        <v/>
      </c>
      <c r="AY188" t="str">
        <f t="shared" si="559"/>
        <v/>
      </c>
      <c r="AZ188" t="str">
        <f t="shared" si="560"/>
        <v/>
      </c>
      <c r="BA188" t="str">
        <f t="shared" si="561"/>
        <v/>
      </c>
      <c r="BB188" t="str">
        <f t="shared" si="562"/>
        <v/>
      </c>
      <c r="BC188" t="str">
        <f t="shared" si="563"/>
        <v/>
      </c>
      <c r="BD188" t="str">
        <f t="shared" si="564"/>
        <v/>
      </c>
      <c r="BE188" t="str">
        <f t="shared" si="565"/>
        <v/>
      </c>
      <c r="BF188" t="str">
        <f t="shared" si="566"/>
        <v/>
      </c>
      <c r="BG188" t="str">
        <f t="shared" si="578"/>
        <v>JumpD</v>
      </c>
      <c r="BH188" t="str">
        <f t="shared" si="567"/>
        <v/>
      </c>
      <c r="BL188">
        <f t="shared" si="590"/>
        <v>0</v>
      </c>
      <c r="BN188">
        <f t="shared" si="579"/>
        <v>0</v>
      </c>
      <c r="BP188">
        <f t="shared" si="580"/>
        <v>0</v>
      </c>
      <c r="BR188">
        <f t="shared" si="591"/>
        <v>12</v>
      </c>
      <c r="BS188" s="44" t="str">
        <f xml:space="preserve"> CONCATENATE( VLOOKUP( $BR188+9, Tables!$B$3:$C$36, 2 ) &amp; IF( BR188&gt;=25, VLOOKUP( $BR188+9-24, Tables!$B$3:$C$36, 2 ), "" ) )</f>
        <v>M</v>
      </c>
      <c r="BT188" t="str">
        <f t="shared" si="568"/>
        <v/>
      </c>
      <c r="BV188" t="str">
        <f t="shared" si="581"/>
        <v/>
      </c>
      <c r="BW188" s="44" t="str">
        <f t="shared" si="582"/>
        <v/>
      </c>
      <c r="BX188" t="str">
        <f t="shared" si="583"/>
        <v/>
      </c>
      <c r="BZ188" t="str">
        <f t="shared" si="584"/>
        <v/>
      </c>
      <c r="CA188" t="str">
        <f t="shared" si="584"/>
        <v/>
      </c>
      <c r="CB188" t="str">
        <f t="shared" si="584"/>
        <v/>
      </c>
      <c r="CC188" t="str">
        <f t="shared" si="584"/>
        <v/>
      </c>
      <c r="CD188" t="str">
        <f t="shared" si="584"/>
        <v/>
      </c>
      <c r="CG188" t="str">
        <f t="shared" si="585"/>
        <v/>
      </c>
      <c r="CH188">
        <f t="shared" si="586"/>
        <v>0</v>
      </c>
      <c r="CJ188">
        <f t="shared" si="592"/>
        <v>12</v>
      </c>
      <c r="CK188" t="str">
        <f t="shared" si="570"/>
        <v/>
      </c>
      <c r="DL188"/>
      <c r="ED188" s="44"/>
    </row>
    <row r="189" spans="1:134">
      <c r="A189" t="str">
        <f t="shared" si="587"/>
        <v/>
      </c>
      <c r="B189" s="239" t="str">
        <f t="shared" si="571"/>
        <v/>
      </c>
      <c r="C189" s="44" t="str">
        <f t="shared" si="572"/>
        <v/>
      </c>
      <c r="D189" t="str">
        <f xml:space="preserve"> IF( AND($C189&lt;&gt;"", $C189&gt;0), IF( $CH189&gt;=D$176, VLOOKUP($C189+(D$176-1)*Compartments,$CJ$177:$CK$251,2), VLOOKUP( ($C189-1)*6+D$176-SUM($CH$177:$CH189), $AQ$177:$AT$377, 4 )), "" )</f>
        <v/>
      </c>
      <c r="F189" t="str">
        <f xml:space="preserve"> IF( AND($C189&lt;&gt;"", $C189&gt;0), IF( $CH189&gt;=F$176, VLOOKUP($C189+(F$176-1)*Compartments,$CJ$177:$CK$251,2), VLOOKUP( ($C189-1)*6+F$176-SUM($CH$177:$CH189), $AQ$177:$AT$377, 4 )), "" )</f>
        <v/>
      </c>
      <c r="I189" t="str">
        <f xml:space="preserve"> IF( AND($C189&lt;&gt;"", $C189&gt;0), IF( $CH189&gt;=I$176, VLOOKUP($C189+(I$176-1)*Compartments,$CJ$177:$CK$251,2), VLOOKUP( ($C189-1)*6+I$176-SUM($CH$177:$CH189), $AQ$177:$AT$377, 4 )), "" )</f>
        <v/>
      </c>
      <c r="K189" t="str">
        <f xml:space="preserve"> IF( AND($C189&lt;&gt;"", $C189&gt;0), IF( $CH189&gt;=K$176, VLOOKUP($C189+(K$176-1)*Compartments,$CJ$177:$CK$251,2), VLOOKUP( ($C189-1)*6+K$176-SUM($CH$177:$CH189), $AQ$177:$AT$377, 4 )), "" )</f>
        <v/>
      </c>
      <c r="M189" t="str">
        <f xml:space="preserve"> IF( AND($C189&lt;&gt;"", $C189&gt;0), IF( $CH189&gt;=M$176, VLOOKUP($C189+(M$176-1)*Compartments,$CJ$177:$CK$251,2), VLOOKUP( ($C189-1)*6+M$176-SUM($CH$177:$CH189), $AQ$177:$AT$377, 4 )), "" )</f>
        <v/>
      </c>
      <c r="P189" t="str">
        <f xml:space="preserve"> IF( AND($C189&lt;&gt;"", $C189&gt;0), IF( $CH189&gt;=P$176, VLOOKUP($C189+(P$176-1)*Compartments,$CJ$177:$CK$251,2), VLOOKUP( ($C189-1)*6+P$176-SUM($CH$177:$CH189), $AQ$177:$AT$377, 4 )), "" )</f>
        <v/>
      </c>
      <c r="R189" t="str">
        <f t="shared" si="573"/>
        <v/>
      </c>
      <c r="T189" s="236"/>
      <c r="Y189"/>
      <c r="Z189"/>
      <c r="AA189"/>
      <c r="AL189">
        <f t="shared" si="588"/>
        <v>84</v>
      </c>
      <c r="AM189">
        <f xml:space="preserve"> IF( JumpGrid&lt;1, EV2, 0 )</f>
        <v>0</v>
      </c>
      <c r="AN189" t="s">
        <v>988</v>
      </c>
      <c r="AO189" s="123">
        <f t="shared" si="574"/>
        <v>0</v>
      </c>
      <c r="AQ189">
        <f t="shared" si="589"/>
        <v>13</v>
      </c>
      <c r="AR189" t="str">
        <f t="shared" si="575"/>
        <v>JumpD</v>
      </c>
      <c r="AS189">
        <f t="shared" si="576"/>
        <v>2</v>
      </c>
      <c r="AT189" t="str">
        <f t="shared" si="577"/>
        <v>JumpD</v>
      </c>
      <c r="AU189" t="str">
        <f t="shared" si="555"/>
        <v/>
      </c>
      <c r="AV189" t="str">
        <f t="shared" si="556"/>
        <v/>
      </c>
      <c r="AW189" t="str">
        <f t="shared" si="557"/>
        <v/>
      </c>
      <c r="AX189" t="str">
        <f t="shared" si="558"/>
        <v/>
      </c>
      <c r="AY189" t="str">
        <f t="shared" si="559"/>
        <v/>
      </c>
      <c r="AZ189" t="str">
        <f t="shared" si="560"/>
        <v/>
      </c>
      <c r="BA189" t="str">
        <f t="shared" si="561"/>
        <v/>
      </c>
      <c r="BB189" t="str">
        <f t="shared" si="562"/>
        <v/>
      </c>
      <c r="BC189" t="str">
        <f t="shared" si="563"/>
        <v/>
      </c>
      <c r="BD189" t="str">
        <f t="shared" si="564"/>
        <v/>
      </c>
      <c r="BE189" t="str">
        <f t="shared" si="565"/>
        <v/>
      </c>
      <c r="BF189" t="str">
        <f t="shared" si="566"/>
        <v/>
      </c>
      <c r="BG189" t="str">
        <f t="shared" si="578"/>
        <v>JumpD</v>
      </c>
      <c r="BH189" t="str">
        <f t="shared" si="567"/>
        <v/>
      </c>
      <c r="BL189">
        <f t="shared" si="590"/>
        <v>0</v>
      </c>
      <c r="BN189">
        <f t="shared" si="579"/>
        <v>0</v>
      </c>
      <c r="BP189">
        <f t="shared" si="580"/>
        <v>0</v>
      </c>
      <c r="BR189">
        <f t="shared" si="591"/>
        <v>13</v>
      </c>
      <c r="BS189" s="44" t="str">
        <f xml:space="preserve"> CONCATENATE( VLOOKUP( $BR189+9, Tables!$B$3:$C$36, 2 ) &amp; IF( BR189&gt;=25, VLOOKUP( $BR189+9-24, Tables!$B$3:$C$36, 2 ), "" ) )</f>
        <v>N</v>
      </c>
      <c r="BT189" t="str">
        <f t="shared" si="568"/>
        <v/>
      </c>
      <c r="BV189" t="str">
        <f t="shared" si="581"/>
        <v/>
      </c>
      <c r="BW189" s="44" t="str">
        <f t="shared" si="582"/>
        <v/>
      </c>
      <c r="BX189" t="str">
        <f t="shared" si="583"/>
        <v/>
      </c>
      <c r="BZ189" t="str">
        <f t="shared" si="584"/>
        <v/>
      </c>
      <c r="CA189" t="str">
        <f t="shared" si="584"/>
        <v/>
      </c>
      <c r="CB189" t="str">
        <f t="shared" si="584"/>
        <v/>
      </c>
      <c r="CC189" t="str">
        <f t="shared" si="584"/>
        <v/>
      </c>
      <c r="CD189" t="str">
        <f t="shared" si="584"/>
        <v/>
      </c>
      <c r="CG189" t="str">
        <f t="shared" si="585"/>
        <v/>
      </c>
      <c r="CH189">
        <f t="shared" si="586"/>
        <v>0</v>
      </c>
      <c r="CJ189">
        <f t="shared" si="592"/>
        <v>13</v>
      </c>
      <c r="CK189" t="str">
        <f t="shared" si="570"/>
        <v/>
      </c>
      <c r="DL189"/>
      <c r="ED189" s="44"/>
    </row>
    <row r="190" spans="1:134">
      <c r="A190" t="str">
        <f t="shared" si="587"/>
        <v/>
      </c>
      <c r="B190" s="239" t="str">
        <f t="shared" si="571"/>
        <v/>
      </c>
      <c r="C190" s="44" t="str">
        <f t="shared" si="572"/>
        <v/>
      </c>
      <c r="D190" t="str">
        <f xml:space="preserve"> IF( AND($C190&lt;&gt;"", $C190&gt;0), IF( $CH190&gt;=D$176, VLOOKUP($C190+(D$176-1)*Compartments,$CJ$177:$CK$251,2), VLOOKUP( ($C190-1)*6+D$176-SUM($CH$177:$CH190), $AQ$177:$AT$377, 4 )), "" )</f>
        <v/>
      </c>
      <c r="F190" t="str">
        <f xml:space="preserve"> IF( AND($C190&lt;&gt;"", $C190&gt;0), IF( $CH190&gt;=F$176, VLOOKUP($C190+(F$176-1)*Compartments,$CJ$177:$CK$251,2), VLOOKUP( ($C190-1)*6+F$176-SUM($CH$177:$CH190), $AQ$177:$AT$377, 4 )), "" )</f>
        <v/>
      </c>
      <c r="I190" t="str">
        <f xml:space="preserve"> IF( AND($C190&lt;&gt;"", $C190&gt;0), IF( $CH190&gt;=I$176, VLOOKUP($C190+(I$176-1)*Compartments,$CJ$177:$CK$251,2), VLOOKUP( ($C190-1)*6+I$176-SUM($CH$177:$CH190), $AQ$177:$AT$377, 4 )), "" )</f>
        <v/>
      </c>
      <c r="K190" t="str">
        <f xml:space="preserve"> IF( AND($C190&lt;&gt;"", $C190&gt;0), IF( $CH190&gt;=K$176, VLOOKUP($C190+(K$176-1)*Compartments,$CJ$177:$CK$251,2), VLOOKUP( ($C190-1)*6+K$176-SUM($CH$177:$CH190), $AQ$177:$AT$377, 4 )), "" )</f>
        <v/>
      </c>
      <c r="M190" t="str">
        <f xml:space="preserve"> IF( AND($C190&lt;&gt;"", $C190&gt;0), IF( $CH190&gt;=M$176, VLOOKUP($C190+(M$176-1)*Compartments,$CJ$177:$CK$251,2), VLOOKUP( ($C190-1)*6+M$176-SUM($CH$177:$CH190), $AQ$177:$AT$377, 4 )), "" )</f>
        <v/>
      </c>
      <c r="P190" t="str">
        <f xml:space="preserve"> IF( AND($C190&lt;&gt;"", $C190&gt;0), IF( $CH190&gt;=P$176, VLOOKUP($C190+(P$176-1)*Compartments,$CJ$177:$CK$251,2), VLOOKUP( ($C190-1)*6+P$176-SUM($CH$177:$CH190), $AQ$177:$AT$377, 4 )), "" )</f>
        <v/>
      </c>
      <c r="R190" t="str">
        <f t="shared" si="573"/>
        <v/>
      </c>
      <c r="T190" s="236"/>
      <c r="Y190"/>
      <c r="Z190"/>
      <c r="AA190"/>
      <c r="AL190">
        <f t="shared" si="588"/>
        <v>84</v>
      </c>
      <c r="AM190">
        <f>EX2</f>
        <v>6</v>
      </c>
      <c r="AN190" t="s">
        <v>116</v>
      </c>
      <c r="AO190" s="123">
        <f t="shared" si="574"/>
        <v>1.7999999999999998</v>
      </c>
      <c r="AQ190">
        <f t="shared" si="589"/>
        <v>14</v>
      </c>
      <c r="AR190" t="str">
        <f t="shared" si="575"/>
        <v>JumpD</v>
      </c>
      <c r="AS190">
        <f t="shared" si="576"/>
        <v>3</v>
      </c>
      <c r="AT190" t="str">
        <f t="shared" si="577"/>
        <v>JumpD</v>
      </c>
      <c r="AU190" t="str">
        <f t="shared" si="555"/>
        <v/>
      </c>
      <c r="AV190" t="str">
        <f t="shared" si="556"/>
        <v/>
      </c>
      <c r="AW190" t="str">
        <f t="shared" si="557"/>
        <v/>
      </c>
      <c r="AX190" t="str">
        <f t="shared" si="558"/>
        <v/>
      </c>
      <c r="AY190" t="str">
        <f t="shared" si="559"/>
        <v/>
      </c>
      <c r="AZ190" t="str">
        <f t="shared" si="560"/>
        <v/>
      </c>
      <c r="BA190" t="str">
        <f t="shared" si="561"/>
        <v/>
      </c>
      <c r="BB190" t="str">
        <f t="shared" si="562"/>
        <v/>
      </c>
      <c r="BC190" t="str">
        <f t="shared" si="563"/>
        <v/>
      </c>
      <c r="BD190" t="str">
        <f t="shared" si="564"/>
        <v/>
      </c>
      <c r="BE190" t="str">
        <f t="shared" si="565"/>
        <v/>
      </c>
      <c r="BF190" t="str">
        <f t="shared" si="566"/>
        <v/>
      </c>
      <c r="BG190" t="str">
        <f t="shared" si="578"/>
        <v>JumpD</v>
      </c>
      <c r="BH190" t="str">
        <f t="shared" si="567"/>
        <v/>
      </c>
      <c r="BL190">
        <f t="shared" si="590"/>
        <v>0</v>
      </c>
      <c r="BN190">
        <f t="shared" si="579"/>
        <v>0</v>
      </c>
      <c r="BP190">
        <f t="shared" si="580"/>
        <v>0</v>
      </c>
      <c r="BR190">
        <f t="shared" si="591"/>
        <v>14</v>
      </c>
      <c r="BS190" s="44" t="str">
        <f xml:space="preserve"> CONCATENATE( VLOOKUP( $BR190+9, Tables!$B$3:$C$36, 2 ) &amp; IF( BR190&gt;=25, VLOOKUP( $BR190+9-24, Tables!$B$3:$C$36, 2 ), "" ) )</f>
        <v>P</v>
      </c>
      <c r="BT190" t="str">
        <f t="shared" si="568"/>
        <v/>
      </c>
      <c r="BV190" t="str">
        <f t="shared" si="581"/>
        <v/>
      </c>
      <c r="BW190" s="44" t="str">
        <f t="shared" si="582"/>
        <v/>
      </c>
      <c r="BX190" t="str">
        <f t="shared" si="583"/>
        <v/>
      </c>
      <c r="BZ190" t="str">
        <f t="shared" si="584"/>
        <v/>
      </c>
      <c r="CA190" t="str">
        <f t="shared" si="584"/>
        <v/>
      </c>
      <c r="CB190" t="str">
        <f t="shared" si="584"/>
        <v/>
      </c>
      <c r="CC190" t="str">
        <f t="shared" si="584"/>
        <v/>
      </c>
      <c r="CD190" t="str">
        <f t="shared" si="584"/>
        <v/>
      </c>
      <c r="CG190" t="str">
        <f t="shared" si="585"/>
        <v/>
      </c>
      <c r="CH190">
        <f t="shared" si="586"/>
        <v>0</v>
      </c>
      <c r="CJ190">
        <f t="shared" si="592"/>
        <v>14</v>
      </c>
      <c r="CK190" t="str">
        <f t="shared" si="570"/>
        <v/>
      </c>
      <c r="DL190"/>
      <c r="ED190" s="44"/>
    </row>
    <row r="191" spans="1:134">
      <c r="A191" t="str">
        <f t="shared" si="587"/>
        <v/>
      </c>
      <c r="B191" s="239" t="str">
        <f t="shared" si="571"/>
        <v/>
      </c>
      <c r="C191" s="44" t="str">
        <f t="shared" si="572"/>
        <v/>
      </c>
      <c r="D191" t="str">
        <f xml:space="preserve"> IF( AND($C191&lt;&gt;"", $C191&gt;0), IF( $CH191&gt;=D$176, VLOOKUP($C191+(D$176-1)*Compartments,$CJ$177:$CK$251,2), VLOOKUP( ($C191-1)*6+D$176-SUM($CH$177:$CH191), $AQ$177:$AT$377, 4 )), "" )</f>
        <v/>
      </c>
      <c r="F191" t="str">
        <f xml:space="preserve"> IF( AND($C191&lt;&gt;"", $C191&gt;0), IF( $CH191&gt;=F$176, VLOOKUP($C191+(F$176-1)*Compartments,$CJ$177:$CK$251,2), VLOOKUP( ($C191-1)*6+F$176-SUM($CH$177:$CH191), $AQ$177:$AT$377, 4 )), "" )</f>
        <v/>
      </c>
      <c r="I191" t="str">
        <f xml:space="preserve"> IF( AND($C191&lt;&gt;"", $C191&gt;0), IF( $CH191&gt;=I$176, VLOOKUP($C191+(I$176-1)*Compartments,$CJ$177:$CK$251,2), VLOOKUP( ($C191-1)*6+I$176-SUM($CH$177:$CH191), $AQ$177:$AT$377, 4 )), "" )</f>
        <v/>
      </c>
      <c r="K191" t="str">
        <f xml:space="preserve"> IF( AND($C191&lt;&gt;"", $C191&gt;0), IF( $CH191&gt;=K$176, VLOOKUP($C191+(K$176-1)*Compartments,$CJ$177:$CK$251,2), VLOOKUP( ($C191-1)*6+K$176-SUM($CH$177:$CH191), $AQ$177:$AT$377, 4 )), "" )</f>
        <v/>
      </c>
      <c r="M191" t="str">
        <f xml:space="preserve"> IF( AND($C191&lt;&gt;"", $C191&gt;0), IF( $CH191&gt;=M$176, VLOOKUP($C191+(M$176-1)*Compartments,$CJ$177:$CK$251,2), VLOOKUP( ($C191-1)*6+M$176-SUM($CH$177:$CH191), $AQ$177:$AT$377, 4 )), "" )</f>
        <v/>
      </c>
      <c r="P191" t="str">
        <f xml:space="preserve"> IF( AND($C191&lt;&gt;"", $C191&gt;0), IF( $CH191&gt;=P$176, VLOOKUP($C191+(P$176-1)*Compartments,$CJ$177:$CK$251,2), VLOOKUP( ($C191-1)*6+P$176-SUM($CH$177:$CH191), $AQ$177:$AT$377, 4 )), "" )</f>
        <v/>
      </c>
      <c r="R191" t="str">
        <f t="shared" si="573"/>
        <v/>
      </c>
      <c r="T191" s="236"/>
      <c r="Y191"/>
      <c r="Z191"/>
      <c r="AA191"/>
      <c r="AL191">
        <f t="shared" si="588"/>
        <v>90</v>
      </c>
      <c r="AM191" s="125">
        <f xml:space="preserve"> IF( AM189&gt;0, 0, EV2 )</f>
        <v>10</v>
      </c>
      <c r="AN191" s="125" t="s">
        <v>38</v>
      </c>
      <c r="AO191" s="126">
        <f>AM191/HitSize</f>
        <v>3</v>
      </c>
      <c r="AQ191">
        <f t="shared" si="589"/>
        <v>15</v>
      </c>
      <c r="AR191" t="str">
        <f t="shared" si="575"/>
        <v>Cargo</v>
      </c>
      <c r="AS191">
        <f t="shared" si="576"/>
        <v>4</v>
      </c>
      <c r="AT191" t="str">
        <f t="shared" si="577"/>
        <v>Cargo</v>
      </c>
      <c r="AU191" t="str">
        <f t="shared" si="555"/>
        <v/>
      </c>
      <c r="AV191" t="str">
        <f t="shared" si="556"/>
        <v/>
      </c>
      <c r="AW191" t="str">
        <f t="shared" si="557"/>
        <v/>
      </c>
      <c r="AX191" t="str">
        <f t="shared" si="558"/>
        <v/>
      </c>
      <c r="AY191" t="str">
        <f t="shared" si="559"/>
        <v/>
      </c>
      <c r="AZ191" t="str">
        <f t="shared" si="560"/>
        <v/>
      </c>
      <c r="BA191" t="str">
        <f t="shared" si="561"/>
        <v/>
      </c>
      <c r="BB191" t="str">
        <f t="shared" si="562"/>
        <v/>
      </c>
      <c r="BC191" t="str">
        <f t="shared" si="563"/>
        <v>Cargo</v>
      </c>
      <c r="BD191" t="str">
        <f t="shared" si="564"/>
        <v/>
      </c>
      <c r="BE191" t="str">
        <f t="shared" si="565"/>
        <v/>
      </c>
      <c r="BF191" t="str">
        <f t="shared" si="566"/>
        <v/>
      </c>
      <c r="BG191" t="str">
        <f t="shared" si="578"/>
        <v/>
      </c>
      <c r="BH191" t="str">
        <f t="shared" si="567"/>
        <v/>
      </c>
      <c r="BL191">
        <f t="shared" si="590"/>
        <v>0</v>
      </c>
      <c r="BN191">
        <f t="shared" si="579"/>
        <v>0</v>
      </c>
      <c r="BP191">
        <f t="shared" si="580"/>
        <v>0</v>
      </c>
      <c r="BR191">
        <f t="shared" si="591"/>
        <v>15</v>
      </c>
      <c r="BS191" s="44" t="str">
        <f xml:space="preserve"> CONCATENATE( VLOOKUP( $BR191+9, Tables!$B$3:$C$36, 2 ) &amp; IF( BR191&gt;=25, VLOOKUP( $BR191+9-24, Tables!$B$3:$C$36, 2 ), "" ) )</f>
        <v>Q</v>
      </c>
      <c r="BT191" t="str">
        <f t="shared" si="568"/>
        <v/>
      </c>
      <c r="BV191" t="str">
        <f t="shared" si="581"/>
        <v/>
      </c>
      <c r="BW191" s="44" t="str">
        <f t="shared" si="582"/>
        <v/>
      </c>
      <c r="BX191" t="str">
        <f t="shared" si="583"/>
        <v/>
      </c>
      <c r="BZ191" t="str">
        <f t="shared" si="584"/>
        <v/>
      </c>
      <c r="CA191" t="str">
        <f t="shared" si="584"/>
        <v/>
      </c>
      <c r="CB191" t="str">
        <f t="shared" si="584"/>
        <v/>
      </c>
      <c r="CC191" t="str">
        <f t="shared" si="584"/>
        <v/>
      </c>
      <c r="CD191" t="str">
        <f t="shared" si="584"/>
        <v/>
      </c>
      <c r="CG191" t="str">
        <f t="shared" si="585"/>
        <v/>
      </c>
      <c r="CH191">
        <f t="shared" si="586"/>
        <v>0</v>
      </c>
      <c r="CJ191">
        <f t="shared" si="592"/>
        <v>15</v>
      </c>
      <c r="CK191" t="str">
        <f t="shared" si="570"/>
        <v/>
      </c>
      <c r="DL191"/>
      <c r="ED191" s="44"/>
    </row>
    <row r="192" spans="1:134">
      <c r="A192" t="str">
        <f t="shared" si="587"/>
        <v/>
      </c>
      <c r="B192" s="239" t="str">
        <f t="shared" si="571"/>
        <v/>
      </c>
      <c r="C192" s="44" t="str">
        <f t="shared" si="572"/>
        <v/>
      </c>
      <c r="D192" t="str">
        <f xml:space="preserve"> IF( AND($C192&lt;&gt;"", $C192&gt;0), IF( $CH192&gt;=D$176, VLOOKUP($C192+(D$176-1)*Compartments,$CJ$177:$CK$251,2), VLOOKUP( ($C192-1)*6+D$176-SUM($CH$177:$CH192), $AQ$177:$AT$377, 4 )), "" )</f>
        <v/>
      </c>
      <c r="F192" t="str">
        <f xml:space="preserve"> IF( AND($C192&lt;&gt;"", $C192&gt;0), IF( $CH192&gt;=F$176, VLOOKUP($C192+(F$176-1)*Compartments,$CJ$177:$CK$251,2), VLOOKUP( ($C192-1)*6+F$176-SUM($CH$177:$CH192), $AQ$177:$AT$377, 4 )), "" )</f>
        <v/>
      </c>
      <c r="I192" t="str">
        <f xml:space="preserve"> IF( AND($C192&lt;&gt;"", $C192&gt;0), IF( $CH192&gt;=I$176, VLOOKUP($C192+(I$176-1)*Compartments,$CJ$177:$CK$251,2), VLOOKUP( ($C192-1)*6+I$176-SUM($CH$177:$CH192), $AQ$177:$AT$377, 4 )), "" )</f>
        <v/>
      </c>
      <c r="K192" t="str">
        <f xml:space="preserve"> IF( AND($C192&lt;&gt;"", $C192&gt;0), IF( $CH192&gt;=K$176, VLOOKUP($C192+(K$176-1)*Compartments,$CJ$177:$CK$251,2), VLOOKUP( ($C192-1)*6+K$176-SUM($CH$177:$CH192), $AQ$177:$AT$377, 4 )), "" )</f>
        <v/>
      </c>
      <c r="M192" t="str">
        <f xml:space="preserve"> IF( AND($C192&lt;&gt;"", $C192&gt;0), IF( $CH192&gt;=M$176, VLOOKUP($C192+(M$176-1)*Compartments,$CJ$177:$CK$251,2), VLOOKUP( ($C192-1)*6+M$176-SUM($CH$177:$CH192), $AQ$177:$AT$377, 4 )), "" )</f>
        <v/>
      </c>
      <c r="P192" t="str">
        <f xml:space="preserve"> IF( AND($C192&lt;&gt;"", $C192&gt;0), IF( $CH192&gt;=P$176, VLOOKUP($C192+(P$176-1)*Compartments,$CJ$177:$CK$251,2), VLOOKUP( ($C192-1)*6+P$176-SUM($CH$177:$CH192), $AQ$177:$AT$377, 4 )), "" )</f>
        <v/>
      </c>
      <c r="R192" t="str">
        <f t="shared" si="573"/>
        <v/>
      </c>
      <c r="T192" s="236"/>
      <c r="Y192"/>
      <c r="Z192"/>
      <c r="AA192"/>
      <c r="AL192">
        <f t="shared" si="588"/>
        <v>100</v>
      </c>
      <c r="AQ192">
        <f t="shared" si="589"/>
        <v>16</v>
      </c>
      <c r="AR192" t="str">
        <f t="shared" si="575"/>
        <v>Cargo</v>
      </c>
      <c r="AS192">
        <f t="shared" si="576"/>
        <v>5</v>
      </c>
      <c r="AT192" t="str">
        <f t="shared" si="577"/>
        <v>Cargo</v>
      </c>
      <c r="AU192" t="str">
        <f t="shared" si="555"/>
        <v/>
      </c>
      <c r="AV192" t="str">
        <f t="shared" si="556"/>
        <v/>
      </c>
      <c r="AW192" t="str">
        <f t="shared" si="557"/>
        <v/>
      </c>
      <c r="AX192" t="str">
        <f t="shared" si="558"/>
        <v/>
      </c>
      <c r="AY192" t="str">
        <f t="shared" si="559"/>
        <v/>
      </c>
      <c r="AZ192" t="str">
        <f t="shared" si="560"/>
        <v/>
      </c>
      <c r="BA192" t="str">
        <f t="shared" si="561"/>
        <v/>
      </c>
      <c r="BB192" t="str">
        <f t="shared" si="562"/>
        <v/>
      </c>
      <c r="BC192" t="str">
        <f t="shared" si="563"/>
        <v>Cargo</v>
      </c>
      <c r="BD192" t="str">
        <f t="shared" si="564"/>
        <v/>
      </c>
      <c r="BE192" t="str">
        <f t="shared" si="565"/>
        <v/>
      </c>
      <c r="BF192" t="str">
        <f t="shared" si="566"/>
        <v/>
      </c>
      <c r="BG192" t="str">
        <f t="shared" si="578"/>
        <v/>
      </c>
      <c r="BH192" t="str">
        <f t="shared" si="567"/>
        <v/>
      </c>
      <c r="BL192">
        <f t="shared" si="590"/>
        <v>0</v>
      </c>
      <c r="BN192">
        <f t="shared" si="579"/>
        <v>0</v>
      </c>
      <c r="BP192">
        <f t="shared" si="580"/>
        <v>0</v>
      </c>
      <c r="BR192">
        <f t="shared" si="591"/>
        <v>16</v>
      </c>
      <c r="BS192" s="44" t="str">
        <f xml:space="preserve"> CONCATENATE( VLOOKUP( $BR192+9, Tables!$B$3:$C$36, 2 ) &amp; IF( BR192&gt;=25, VLOOKUP( $BR192+9-24, Tables!$B$3:$C$36, 2 ), "" ) )</f>
        <v>R</v>
      </c>
      <c r="BT192" t="str">
        <f t="shared" si="568"/>
        <v/>
      </c>
      <c r="BV192" t="str">
        <f t="shared" si="581"/>
        <v/>
      </c>
      <c r="BW192" s="44" t="str">
        <f t="shared" si="582"/>
        <v/>
      </c>
      <c r="BX192" t="str">
        <f t="shared" si="583"/>
        <v/>
      </c>
      <c r="BZ192" t="str">
        <f t="shared" si="584"/>
        <v/>
      </c>
      <c r="CA192" t="str">
        <f t="shared" si="584"/>
        <v/>
      </c>
      <c r="CB192" t="str">
        <f t="shared" si="584"/>
        <v/>
      </c>
      <c r="CC192" t="str">
        <f t="shared" si="584"/>
        <v/>
      </c>
      <c r="CD192" t="str">
        <f t="shared" si="584"/>
        <v/>
      </c>
      <c r="CG192" t="str">
        <f t="shared" si="585"/>
        <v/>
      </c>
      <c r="CH192">
        <f t="shared" si="586"/>
        <v>0</v>
      </c>
      <c r="CJ192">
        <f t="shared" si="592"/>
        <v>16</v>
      </c>
      <c r="CK192" t="str">
        <f t="shared" si="570"/>
        <v/>
      </c>
      <c r="DL192"/>
      <c r="ED192" s="44"/>
    </row>
    <row r="193" spans="1:134">
      <c r="A193" t="str">
        <f t="shared" si="587"/>
        <v/>
      </c>
      <c r="B193" s="239" t="str">
        <f t="shared" si="571"/>
        <v/>
      </c>
      <c r="C193" s="44" t="str">
        <f t="shared" si="572"/>
        <v/>
      </c>
      <c r="D193" t="str">
        <f xml:space="preserve"> IF( AND($C193&lt;&gt;"", $C193&gt;0), IF( $CH193&gt;=D$176, VLOOKUP($C193+(D$176-1)*Compartments,$CJ$177:$CK$251,2), VLOOKUP( ($C193-1)*6+D$176-SUM($CH$177:$CH193), $AQ$177:$AT$377, 4 )), "" )</f>
        <v/>
      </c>
      <c r="F193" t="str">
        <f xml:space="preserve"> IF( AND($C193&lt;&gt;"", $C193&gt;0), IF( $CH193&gt;=F$176, VLOOKUP($C193+(F$176-1)*Compartments,$CJ$177:$CK$251,2), VLOOKUP( ($C193-1)*6+F$176-SUM($CH$177:$CH193), $AQ$177:$AT$377, 4 )), "" )</f>
        <v/>
      </c>
      <c r="I193" t="str">
        <f xml:space="preserve"> IF( AND($C193&lt;&gt;"", $C193&gt;0), IF( $CH193&gt;=I$176, VLOOKUP($C193+(I$176-1)*Compartments,$CJ$177:$CK$251,2), VLOOKUP( ($C193-1)*6+I$176-SUM($CH$177:$CH193), $AQ$177:$AT$377, 4 )), "" )</f>
        <v/>
      </c>
      <c r="K193" t="str">
        <f xml:space="preserve"> IF( AND($C193&lt;&gt;"", $C193&gt;0), IF( $CH193&gt;=K$176, VLOOKUP($C193+(K$176-1)*Compartments,$CJ$177:$CK$251,2), VLOOKUP( ($C193-1)*6+K$176-SUM($CH$177:$CH193), $AQ$177:$AT$377, 4 )), "" )</f>
        <v/>
      </c>
      <c r="M193" t="str">
        <f xml:space="preserve"> IF( AND($C193&lt;&gt;"", $C193&gt;0), IF( $CH193&gt;=M$176, VLOOKUP($C193+(M$176-1)*Compartments,$CJ$177:$CK$251,2), VLOOKUP( ($C193-1)*6+M$176-SUM($CH$177:$CH193), $AQ$177:$AT$377, 4 )), "" )</f>
        <v/>
      </c>
      <c r="P193" t="str">
        <f xml:space="preserve"> IF( AND($C193&lt;&gt;"", $C193&gt;0), IF( $CH193&gt;=P$176, VLOOKUP($C193+(P$176-1)*Compartments,$CJ$177:$CK$251,2), VLOOKUP( ($C193-1)*6+P$176-SUM($CH$177:$CH193), $AQ$177:$AT$377, 4 )), "" )</f>
        <v/>
      </c>
      <c r="R193" t="str">
        <f t="shared" si="573"/>
        <v/>
      </c>
      <c r="T193" s="236"/>
      <c r="Y193"/>
      <c r="Z193"/>
      <c r="AA193"/>
      <c r="AQ193">
        <f t="shared" si="589"/>
        <v>17</v>
      </c>
      <c r="AR193" t="str">
        <f t="shared" si="575"/>
        <v>Cargo</v>
      </c>
      <c r="AS193">
        <f t="shared" si="576"/>
        <v>6</v>
      </c>
      <c r="AT193" t="str">
        <f t="shared" si="577"/>
        <v>Cargo</v>
      </c>
      <c r="AU193" t="str">
        <f t="shared" si="555"/>
        <v/>
      </c>
      <c r="AV193" t="str">
        <f t="shared" si="556"/>
        <v/>
      </c>
      <c r="AW193" t="str">
        <f t="shared" si="557"/>
        <v/>
      </c>
      <c r="AX193" t="str">
        <f t="shared" si="558"/>
        <v/>
      </c>
      <c r="AY193" t="str">
        <f t="shared" si="559"/>
        <v/>
      </c>
      <c r="AZ193" t="str">
        <f t="shared" si="560"/>
        <v/>
      </c>
      <c r="BA193" t="str">
        <f t="shared" si="561"/>
        <v/>
      </c>
      <c r="BB193" t="str">
        <f t="shared" si="562"/>
        <v/>
      </c>
      <c r="BC193" t="str">
        <f t="shared" si="563"/>
        <v>Cargo</v>
      </c>
      <c r="BD193" t="str">
        <f t="shared" si="564"/>
        <v/>
      </c>
      <c r="BE193" t="str">
        <f t="shared" si="565"/>
        <v/>
      </c>
      <c r="BF193" t="str">
        <f t="shared" si="566"/>
        <v/>
      </c>
      <c r="BG193" t="str">
        <f t="shared" si="578"/>
        <v/>
      </c>
      <c r="BH193" t="str">
        <f t="shared" si="567"/>
        <v/>
      </c>
      <c r="BL193">
        <f t="shared" si="590"/>
        <v>0</v>
      </c>
      <c r="BN193">
        <f t="shared" si="579"/>
        <v>0</v>
      </c>
      <c r="BP193">
        <f t="shared" si="580"/>
        <v>0</v>
      </c>
      <c r="BR193">
        <f t="shared" si="591"/>
        <v>17</v>
      </c>
      <c r="BS193" s="44" t="str">
        <f xml:space="preserve"> CONCATENATE( VLOOKUP( $BR193+9, Tables!$B$3:$C$36, 2 ) &amp; IF( BR193&gt;=25, VLOOKUP( $BR193+9-24, Tables!$B$3:$C$36, 2 ), "" ) )</f>
        <v>S</v>
      </c>
      <c r="BT193" t="str">
        <f t="shared" si="568"/>
        <v/>
      </c>
      <c r="BV193" t="str">
        <f t="shared" si="581"/>
        <v/>
      </c>
      <c r="BW193" s="44" t="str">
        <f t="shared" si="582"/>
        <v/>
      </c>
      <c r="BX193" t="str">
        <f t="shared" si="583"/>
        <v/>
      </c>
      <c r="BZ193" t="str">
        <f t="shared" si="584"/>
        <v/>
      </c>
      <c r="CA193" t="str">
        <f t="shared" si="584"/>
        <v/>
      </c>
      <c r="CB193" t="str">
        <f t="shared" si="584"/>
        <v/>
      </c>
      <c r="CC193" t="str">
        <f t="shared" si="584"/>
        <v/>
      </c>
      <c r="CD193" t="str">
        <f t="shared" si="584"/>
        <v/>
      </c>
      <c r="CG193" t="str">
        <f t="shared" si="585"/>
        <v/>
      </c>
      <c r="CH193">
        <f t="shared" si="586"/>
        <v>0</v>
      </c>
      <c r="CJ193">
        <f t="shared" si="592"/>
        <v>17</v>
      </c>
      <c r="CK193" t="str">
        <f t="shared" si="570"/>
        <v/>
      </c>
      <c r="DL193"/>
      <c r="ED193" s="44"/>
    </row>
    <row r="194" spans="1:134">
      <c r="A194" t="str">
        <f t="shared" si="587"/>
        <v/>
      </c>
      <c r="B194" s="239" t="str">
        <f t="shared" si="571"/>
        <v/>
      </c>
      <c r="C194" s="44" t="str">
        <f t="shared" si="572"/>
        <v/>
      </c>
      <c r="D194" t="str">
        <f xml:space="preserve"> IF( AND($C194&lt;&gt;"", $C194&gt;0), IF( $CH194&gt;=D$176, VLOOKUP($C194+(D$176-1)*Compartments,$CJ$177:$CK$251,2), VLOOKUP( ($C194-1)*6+D$176-SUM($CH$177:$CH194), $AQ$177:$AT$377, 4 )), "" )</f>
        <v/>
      </c>
      <c r="F194" t="str">
        <f xml:space="preserve"> IF( AND($C194&lt;&gt;"", $C194&gt;0), IF( $CH194&gt;=F$176, VLOOKUP($C194+(F$176-1)*Compartments,$CJ$177:$CK$251,2), VLOOKUP( ($C194-1)*6+F$176-SUM($CH$177:$CH194), $AQ$177:$AT$377, 4 )), "" )</f>
        <v/>
      </c>
      <c r="I194" t="str">
        <f xml:space="preserve"> IF( AND($C194&lt;&gt;"", $C194&gt;0), IF( $CH194&gt;=I$176, VLOOKUP($C194+(I$176-1)*Compartments,$CJ$177:$CK$251,2), VLOOKUP( ($C194-1)*6+I$176-SUM($CH$177:$CH194), $AQ$177:$AT$377, 4 )), "" )</f>
        <v/>
      </c>
      <c r="K194" t="str">
        <f xml:space="preserve"> IF( AND($C194&lt;&gt;"", $C194&gt;0), IF( $CH194&gt;=K$176, VLOOKUP($C194+(K$176-1)*Compartments,$CJ$177:$CK$251,2), VLOOKUP( ($C194-1)*6+K$176-SUM($CH$177:$CH194), $AQ$177:$AT$377, 4 )), "" )</f>
        <v/>
      </c>
      <c r="M194" t="str">
        <f xml:space="preserve"> IF( AND($C194&lt;&gt;"", $C194&gt;0), IF( $CH194&gt;=M$176, VLOOKUP($C194+(M$176-1)*Compartments,$CJ$177:$CK$251,2), VLOOKUP( ($C194-1)*6+M$176-SUM($CH$177:$CH194), $AQ$177:$AT$377, 4 )), "" )</f>
        <v/>
      </c>
      <c r="P194" t="str">
        <f xml:space="preserve"> IF( AND($C194&lt;&gt;"", $C194&gt;0), IF( $CH194&gt;=P$176, VLOOKUP($C194+(P$176-1)*Compartments,$CJ$177:$CK$251,2), VLOOKUP( ($C194-1)*6+P$176-SUM($CH$177:$CH194), $AQ$177:$AT$377, 4 )), "" )</f>
        <v/>
      </c>
      <c r="R194" t="str">
        <f t="shared" si="573"/>
        <v/>
      </c>
      <c r="T194" s="236"/>
      <c r="Y194"/>
      <c r="Z194"/>
      <c r="AA194"/>
      <c r="AQ194">
        <f t="shared" si="589"/>
        <v>18</v>
      </c>
      <c r="AR194" t="str">
        <f t="shared" si="575"/>
        <v>Cargo</v>
      </c>
      <c r="AS194">
        <f t="shared" si="576"/>
        <v>7</v>
      </c>
      <c r="AT194" t="str">
        <f t="shared" si="577"/>
        <v>Cargo</v>
      </c>
      <c r="AU194" t="str">
        <f t="shared" si="555"/>
        <v/>
      </c>
      <c r="AV194" t="str">
        <f t="shared" si="556"/>
        <v/>
      </c>
      <c r="AW194" t="str">
        <f t="shared" si="557"/>
        <v/>
      </c>
      <c r="AX194" t="str">
        <f t="shared" si="558"/>
        <v/>
      </c>
      <c r="AY194" t="str">
        <f t="shared" si="559"/>
        <v/>
      </c>
      <c r="AZ194" t="str">
        <f t="shared" si="560"/>
        <v/>
      </c>
      <c r="BA194" t="str">
        <f t="shared" si="561"/>
        <v/>
      </c>
      <c r="BB194" t="str">
        <f t="shared" si="562"/>
        <v/>
      </c>
      <c r="BC194" t="str">
        <f t="shared" si="563"/>
        <v>Cargo</v>
      </c>
      <c r="BD194" t="str">
        <f t="shared" si="564"/>
        <v/>
      </c>
      <c r="BE194" t="str">
        <f t="shared" si="565"/>
        <v/>
      </c>
      <c r="BF194" t="str">
        <f t="shared" si="566"/>
        <v/>
      </c>
      <c r="BG194" t="str">
        <f t="shared" si="578"/>
        <v/>
      </c>
      <c r="BH194" t="str">
        <f t="shared" si="567"/>
        <v/>
      </c>
      <c r="BL194">
        <f t="shared" si="590"/>
        <v>0</v>
      </c>
      <c r="BN194">
        <f t="shared" si="579"/>
        <v>0</v>
      </c>
      <c r="BP194">
        <f t="shared" si="580"/>
        <v>0</v>
      </c>
      <c r="BR194">
        <f t="shared" si="591"/>
        <v>18</v>
      </c>
      <c r="BS194" s="44" t="str">
        <f xml:space="preserve"> CONCATENATE( VLOOKUP( $BR194+9, Tables!$B$3:$C$36, 2 ) &amp; IF( BR194&gt;=25, VLOOKUP( $BR194+9-24, Tables!$B$3:$C$36, 2 ), "" ) )</f>
        <v>T</v>
      </c>
      <c r="BT194" t="str">
        <f t="shared" si="568"/>
        <v/>
      </c>
      <c r="BV194" t="str">
        <f t="shared" si="581"/>
        <v/>
      </c>
      <c r="BW194" s="44" t="str">
        <f t="shared" si="582"/>
        <v/>
      </c>
      <c r="BX194" t="str">
        <f t="shared" si="583"/>
        <v/>
      </c>
      <c r="BZ194" t="str">
        <f t="shared" si="584"/>
        <v/>
      </c>
      <c r="CA194" t="str">
        <f t="shared" si="584"/>
        <v/>
      </c>
      <c r="CB194" t="str">
        <f t="shared" si="584"/>
        <v/>
      </c>
      <c r="CC194" t="str">
        <f t="shared" si="584"/>
        <v/>
      </c>
      <c r="CD194" t="str">
        <f t="shared" si="584"/>
        <v/>
      </c>
      <c r="CG194" t="str">
        <f t="shared" si="585"/>
        <v/>
      </c>
      <c r="CH194">
        <f t="shared" si="586"/>
        <v>0</v>
      </c>
      <c r="CJ194">
        <f t="shared" si="592"/>
        <v>18</v>
      </c>
      <c r="CK194" t="str">
        <f t="shared" si="570"/>
        <v/>
      </c>
      <c r="DL194"/>
      <c r="ED194" s="44"/>
    </row>
    <row r="195" spans="1:134">
      <c r="A195" t="str">
        <f t="shared" si="587"/>
        <v/>
      </c>
      <c r="B195" s="239" t="str">
        <f t="shared" si="571"/>
        <v/>
      </c>
      <c r="C195" s="44" t="str">
        <f t="shared" si="572"/>
        <v/>
      </c>
      <c r="D195" t="str">
        <f xml:space="preserve"> IF( AND($C195&lt;&gt;"", $C195&gt;0), IF( $CH195&gt;=D$176, VLOOKUP($C195+(D$176-1)*Compartments,$CJ$177:$CK$251,2), VLOOKUP( ($C195-1)*6+D$176-SUM($CH$177:$CH195), $AQ$177:$AT$377, 4 )), "" )</f>
        <v/>
      </c>
      <c r="F195" t="str">
        <f xml:space="preserve"> IF( AND($C195&lt;&gt;"", $C195&gt;0), IF( $CH195&gt;=F$176, VLOOKUP($C195+(F$176-1)*Compartments,$CJ$177:$CK$251,2), VLOOKUP( ($C195-1)*6+F$176-SUM($CH$177:$CH195), $AQ$177:$AT$377, 4 )), "" )</f>
        <v/>
      </c>
      <c r="I195" t="str">
        <f xml:space="preserve"> IF( AND($C195&lt;&gt;"", $C195&gt;0), IF( $CH195&gt;=I$176, VLOOKUP($C195+(I$176-1)*Compartments,$CJ$177:$CK$251,2), VLOOKUP( ($C195-1)*6+I$176-SUM($CH$177:$CH195), $AQ$177:$AT$377, 4 )), "" )</f>
        <v/>
      </c>
      <c r="K195" t="str">
        <f xml:space="preserve"> IF( AND($C195&lt;&gt;"", $C195&gt;0), IF( $CH195&gt;=K$176, VLOOKUP($C195+(K$176-1)*Compartments,$CJ$177:$CK$251,2), VLOOKUP( ($C195-1)*6+K$176-SUM($CH$177:$CH195), $AQ$177:$AT$377, 4 )), "" )</f>
        <v/>
      </c>
      <c r="M195" t="str">
        <f xml:space="preserve"> IF( AND($C195&lt;&gt;"", $C195&gt;0), IF( $CH195&gt;=M$176, VLOOKUP($C195+(M$176-1)*Compartments,$CJ$177:$CK$251,2), VLOOKUP( ($C195-1)*6+M$176-SUM($CH$177:$CH195), $AQ$177:$AT$377, 4 )), "" )</f>
        <v/>
      </c>
      <c r="P195" t="str">
        <f xml:space="preserve"> IF( AND($C195&lt;&gt;"", $C195&gt;0), IF( $CH195&gt;=P$176, VLOOKUP($C195+(P$176-1)*Compartments,$CJ$177:$CK$251,2), VLOOKUP( ($C195-1)*6+P$176-SUM($CH$177:$CH195), $AQ$177:$AT$377, 4 )), "" )</f>
        <v/>
      </c>
      <c r="R195" t="str">
        <f t="shared" si="573"/>
        <v/>
      </c>
      <c r="T195" s="236"/>
      <c r="Y195"/>
      <c r="Z195"/>
      <c r="AA195"/>
      <c r="AN195" t="s">
        <v>190</v>
      </c>
      <c r="AO195" s="122">
        <f xml:space="preserve"> MAX( 0, ROUNDUP( AO191-0.5, ) )</f>
        <v>3</v>
      </c>
      <c r="AQ195">
        <f t="shared" si="589"/>
        <v>19</v>
      </c>
      <c r="AR195" t="str">
        <f t="shared" si="575"/>
        <v>Cargo</v>
      </c>
      <c r="AS195">
        <f t="shared" si="576"/>
        <v>8</v>
      </c>
      <c r="AT195" t="str">
        <f t="shared" si="577"/>
        <v>Cargo</v>
      </c>
      <c r="AU195" t="str">
        <f t="shared" si="555"/>
        <v/>
      </c>
      <c r="AV195" t="str">
        <f t="shared" si="556"/>
        <v/>
      </c>
      <c r="AW195" t="str">
        <f t="shared" si="557"/>
        <v/>
      </c>
      <c r="AX195" t="str">
        <f t="shared" si="558"/>
        <v/>
      </c>
      <c r="AY195" t="str">
        <f t="shared" si="559"/>
        <v/>
      </c>
      <c r="AZ195" t="str">
        <f t="shared" si="560"/>
        <v/>
      </c>
      <c r="BA195" t="str">
        <f t="shared" si="561"/>
        <v/>
      </c>
      <c r="BB195" t="str">
        <f t="shared" si="562"/>
        <v/>
      </c>
      <c r="BC195" t="str">
        <f t="shared" si="563"/>
        <v>Cargo</v>
      </c>
      <c r="BD195" t="str">
        <f t="shared" si="564"/>
        <v/>
      </c>
      <c r="BE195" t="str">
        <f t="shared" si="565"/>
        <v/>
      </c>
      <c r="BF195" t="str">
        <f t="shared" si="566"/>
        <v/>
      </c>
      <c r="BG195" t="str">
        <f t="shared" si="578"/>
        <v/>
      </c>
      <c r="BH195" t="str">
        <f t="shared" si="567"/>
        <v/>
      </c>
      <c r="BL195">
        <f t="shared" si="590"/>
        <v>0</v>
      </c>
      <c r="BN195">
        <f t="shared" si="579"/>
        <v>0</v>
      </c>
      <c r="BP195">
        <f t="shared" si="580"/>
        <v>0</v>
      </c>
      <c r="BR195">
        <f t="shared" si="591"/>
        <v>19</v>
      </c>
      <c r="BS195" s="44" t="str">
        <f xml:space="preserve"> CONCATENATE( VLOOKUP( $BR195+9, Tables!$B$3:$C$36, 2 ) &amp; IF( BR195&gt;=25, VLOOKUP( $BR195+9-24, Tables!$B$3:$C$36, 2 ), "" ) )</f>
        <v>U</v>
      </c>
      <c r="BT195" t="str">
        <f t="shared" si="568"/>
        <v/>
      </c>
      <c r="BV195" t="str">
        <f t="shared" si="581"/>
        <v/>
      </c>
      <c r="BW195" s="44" t="str">
        <f t="shared" si="582"/>
        <v/>
      </c>
      <c r="BX195" t="str">
        <f t="shared" si="583"/>
        <v/>
      </c>
      <c r="BZ195" t="str">
        <f t="shared" si="584"/>
        <v/>
      </c>
      <c r="CA195" t="str">
        <f t="shared" si="584"/>
        <v/>
      </c>
      <c r="CB195" t="str">
        <f t="shared" si="584"/>
        <v/>
      </c>
      <c r="CC195" t="str">
        <f t="shared" si="584"/>
        <v/>
      </c>
      <c r="CD195" t="str">
        <f t="shared" si="584"/>
        <v/>
      </c>
      <c r="CG195" t="str">
        <f t="shared" si="585"/>
        <v/>
      </c>
      <c r="CH195">
        <f t="shared" si="586"/>
        <v>0</v>
      </c>
      <c r="CJ195">
        <f t="shared" si="592"/>
        <v>19</v>
      </c>
      <c r="CK195" t="str">
        <f t="shared" si="570"/>
        <v/>
      </c>
      <c r="DL195"/>
      <c r="ED195" s="44"/>
    </row>
    <row r="196" spans="1:134">
      <c r="A196" t="str">
        <f t="shared" si="587"/>
        <v/>
      </c>
      <c r="B196" s="239" t="str">
        <f t="shared" si="571"/>
        <v/>
      </c>
      <c r="C196" s="44" t="str">
        <f t="shared" si="572"/>
        <v/>
      </c>
      <c r="D196" t="str">
        <f xml:space="preserve"> IF( AND($C196&lt;&gt;"", $C196&gt;0), IF( $CH196&gt;=D$176, VLOOKUP($C196+(D$176-1)*Compartments,$CJ$177:$CK$251,2), VLOOKUP( ($C196-1)*6+D$176-SUM($CH$177:$CH196), $AQ$177:$AT$377, 4 )), "" )</f>
        <v/>
      </c>
      <c r="F196" t="str">
        <f xml:space="preserve"> IF( AND($C196&lt;&gt;"", $C196&gt;0), IF( $CH196&gt;=F$176, VLOOKUP($C196+(F$176-1)*Compartments,$CJ$177:$CK$251,2), VLOOKUP( ($C196-1)*6+F$176-SUM($CH$177:$CH196), $AQ$177:$AT$377, 4 )), "" )</f>
        <v/>
      </c>
      <c r="I196" t="str">
        <f xml:space="preserve"> IF( AND($C196&lt;&gt;"", $C196&gt;0), IF( $CH196&gt;=I$176, VLOOKUP($C196+(I$176-1)*Compartments,$CJ$177:$CK$251,2), VLOOKUP( ($C196-1)*6+I$176-SUM($CH$177:$CH196), $AQ$177:$AT$377, 4 )), "" )</f>
        <v/>
      </c>
      <c r="K196" t="str">
        <f xml:space="preserve"> IF( AND($C196&lt;&gt;"", $C196&gt;0), IF( $CH196&gt;=K$176, VLOOKUP($C196+(K$176-1)*Compartments,$CJ$177:$CK$251,2), VLOOKUP( ($C196-1)*6+K$176-SUM($CH$177:$CH196), $AQ$177:$AT$377, 4 )), "" )</f>
        <v/>
      </c>
      <c r="M196" t="str">
        <f xml:space="preserve"> IF( AND($C196&lt;&gt;"", $C196&gt;0), IF( $CH196&gt;=M$176, VLOOKUP($C196+(M$176-1)*Compartments,$CJ$177:$CK$251,2), VLOOKUP( ($C196-1)*6+M$176-SUM($CH$177:$CH196), $AQ$177:$AT$377, 4 )), "" )</f>
        <v/>
      </c>
      <c r="P196" t="str">
        <f xml:space="preserve"> IF( AND($C196&lt;&gt;"", $C196&gt;0), IF( $CH196&gt;=P$176, VLOOKUP($C196+(P$176-1)*Compartments,$CJ$177:$CK$251,2), VLOOKUP( ($C196-1)*6+P$176-SUM($CH$177:$CH196), $AQ$177:$AT$377, 4 )), "" )</f>
        <v/>
      </c>
      <c r="R196" t="str">
        <f t="shared" si="573"/>
        <v/>
      </c>
      <c r="T196" s="236"/>
      <c r="Y196"/>
      <c r="Z196"/>
      <c r="AA196"/>
      <c r="AN196" t="s">
        <v>501</v>
      </c>
      <c r="AO196" s="122">
        <f xml:space="preserve"> ROUNDUP( (AR175)/2-AO195, 0)</f>
        <v>12</v>
      </c>
      <c r="AQ196">
        <f t="shared" si="589"/>
        <v>20</v>
      </c>
      <c r="AR196" t="str">
        <f t="shared" si="575"/>
        <v>Cargo</v>
      </c>
      <c r="AS196">
        <f t="shared" si="576"/>
        <v>9</v>
      </c>
      <c r="AT196" t="str">
        <f t="shared" si="577"/>
        <v>Cargo</v>
      </c>
      <c r="AU196" t="str">
        <f t="shared" si="555"/>
        <v/>
      </c>
      <c r="AV196" t="str">
        <f t="shared" si="556"/>
        <v/>
      </c>
      <c r="AW196" t="str">
        <f t="shared" si="557"/>
        <v/>
      </c>
      <c r="AX196" t="str">
        <f t="shared" si="558"/>
        <v/>
      </c>
      <c r="AY196" t="str">
        <f t="shared" si="559"/>
        <v/>
      </c>
      <c r="AZ196" t="str">
        <f t="shared" si="560"/>
        <v/>
      </c>
      <c r="BA196" t="str">
        <f t="shared" si="561"/>
        <v/>
      </c>
      <c r="BB196" t="str">
        <f t="shared" si="562"/>
        <v/>
      </c>
      <c r="BC196" t="str">
        <f t="shared" si="563"/>
        <v>Cargo</v>
      </c>
      <c r="BD196" t="str">
        <f t="shared" si="564"/>
        <v/>
      </c>
      <c r="BE196" t="str">
        <f t="shared" si="565"/>
        <v/>
      </c>
      <c r="BF196" t="str">
        <f t="shared" si="566"/>
        <v/>
      </c>
      <c r="BG196" t="str">
        <f t="shared" si="578"/>
        <v/>
      </c>
      <c r="BH196" t="str">
        <f t="shared" si="567"/>
        <v/>
      </c>
      <c r="BL196">
        <f t="shared" si="590"/>
        <v>0</v>
      </c>
      <c r="BN196">
        <f t="shared" si="579"/>
        <v>0</v>
      </c>
      <c r="BP196">
        <f t="shared" si="580"/>
        <v>0</v>
      </c>
      <c r="BR196">
        <f t="shared" si="591"/>
        <v>20</v>
      </c>
      <c r="BS196" s="44" t="str">
        <f xml:space="preserve"> CONCATENATE( VLOOKUP( $BR196+9, Tables!$B$3:$C$36, 2 ) &amp; IF( BR196&gt;=25, VLOOKUP( $BR196+9-24, Tables!$B$3:$C$36, 2 ), "" ) )</f>
        <v>V</v>
      </c>
      <c r="BT196" t="str">
        <f t="shared" si="568"/>
        <v/>
      </c>
      <c r="BV196" t="str">
        <f t="shared" si="581"/>
        <v/>
      </c>
      <c r="BW196" s="44" t="str">
        <f t="shared" si="582"/>
        <v/>
      </c>
      <c r="BX196" t="str">
        <f t="shared" si="583"/>
        <v/>
      </c>
      <c r="BZ196" t="str">
        <f t="shared" si="584"/>
        <v/>
      </c>
      <c r="CA196" t="str">
        <f t="shared" si="584"/>
        <v/>
      </c>
      <c r="CB196" t="str">
        <f t="shared" si="584"/>
        <v/>
      </c>
      <c r="CC196" t="str">
        <f t="shared" si="584"/>
        <v/>
      </c>
      <c r="CD196" t="str">
        <f t="shared" si="584"/>
        <v/>
      </c>
      <c r="CG196" t="str">
        <f t="shared" si="585"/>
        <v/>
      </c>
      <c r="CH196">
        <f t="shared" si="586"/>
        <v>0</v>
      </c>
      <c r="CJ196">
        <f t="shared" si="592"/>
        <v>20</v>
      </c>
      <c r="CK196" t="str">
        <f t="shared" si="570"/>
        <v/>
      </c>
      <c r="DL196"/>
      <c r="ED196" s="44"/>
    </row>
    <row r="197" spans="1:134">
      <c r="A197" t="str">
        <f t="shared" si="587"/>
        <v/>
      </c>
      <c r="B197" s="239" t="str">
        <f t="shared" si="571"/>
        <v/>
      </c>
      <c r="C197" s="44" t="str">
        <f t="shared" si="572"/>
        <v/>
      </c>
      <c r="D197" t="str">
        <f xml:space="preserve"> IF( AND($C197&lt;&gt;"", $C197&gt;0), IF( $CH197&gt;=D$176, VLOOKUP($C197+(D$176-1)*Compartments,$CJ$177:$CK$251,2), VLOOKUP( ($C197-1)*6+D$176-SUM($CH$177:$CH197), $AQ$177:$AT$377, 4 )), "" )</f>
        <v/>
      </c>
      <c r="F197" t="str">
        <f xml:space="preserve"> IF( AND($C197&lt;&gt;"", $C197&gt;0), IF( $CH197&gt;=F$176, VLOOKUP($C197+(F$176-1)*Compartments,$CJ$177:$CK$251,2), VLOOKUP( ($C197-1)*6+F$176-SUM($CH$177:$CH197), $AQ$177:$AT$377, 4 )), "" )</f>
        <v/>
      </c>
      <c r="I197" t="str">
        <f xml:space="preserve"> IF( AND($C197&lt;&gt;"", $C197&gt;0), IF( $CH197&gt;=I$176, VLOOKUP($C197+(I$176-1)*Compartments,$CJ$177:$CK$251,2), VLOOKUP( ($C197-1)*6+I$176-SUM($CH$177:$CH197), $AQ$177:$AT$377, 4 )), "" )</f>
        <v/>
      </c>
      <c r="K197" t="str">
        <f xml:space="preserve"> IF( AND($C197&lt;&gt;"", $C197&gt;0), IF( $CH197&gt;=K$176, VLOOKUP($C197+(K$176-1)*Compartments,$CJ$177:$CK$251,2), VLOOKUP( ($C197-1)*6+K$176-SUM($CH$177:$CH197), $AQ$177:$AT$377, 4 )), "" )</f>
        <v/>
      </c>
      <c r="M197" t="str">
        <f xml:space="preserve"> IF( AND($C197&lt;&gt;"", $C197&gt;0), IF( $CH197&gt;=M$176, VLOOKUP($C197+(M$176-1)*Compartments,$CJ$177:$CK$251,2), VLOOKUP( ($C197-1)*6+M$176-SUM($CH$177:$CH197), $AQ$177:$AT$377, 4 )), "" )</f>
        <v/>
      </c>
      <c r="P197" t="str">
        <f xml:space="preserve"> IF( AND($C197&lt;&gt;"", $C197&gt;0), IF( $CH197&gt;=P$176, VLOOKUP($C197+(P$176-1)*Compartments,$CJ$177:$CK$251,2), VLOOKUP( ($C197-1)*6+P$176-SUM($CH$177:$CH197), $AQ$177:$AT$377, 4 )), "" )</f>
        <v/>
      </c>
      <c r="R197" t="str">
        <f t="shared" si="573"/>
        <v/>
      </c>
      <c r="T197" s="236"/>
      <c r="Y197"/>
      <c r="Z197"/>
      <c r="AA197"/>
      <c r="AQ197">
        <f t="shared" si="589"/>
        <v>21</v>
      </c>
      <c r="AR197" t="str">
        <f t="shared" si="575"/>
        <v>Cargo</v>
      </c>
      <c r="AS197">
        <f t="shared" si="576"/>
        <v>10</v>
      </c>
      <c r="AT197" t="str">
        <f t="shared" si="577"/>
        <v>Spare Space</v>
      </c>
      <c r="AU197" t="str">
        <f t="shared" si="555"/>
        <v/>
      </c>
      <c r="AV197" t="str">
        <f t="shared" si="556"/>
        <v/>
      </c>
      <c r="AW197" t="str">
        <f t="shared" si="557"/>
        <v/>
      </c>
      <c r="AX197" t="str">
        <f t="shared" si="558"/>
        <v/>
      </c>
      <c r="AY197" t="str">
        <f t="shared" si="559"/>
        <v/>
      </c>
      <c r="AZ197" t="str">
        <f t="shared" si="560"/>
        <v/>
      </c>
      <c r="BA197" t="str">
        <f t="shared" si="561"/>
        <v/>
      </c>
      <c r="BB197" t="str">
        <f t="shared" si="562"/>
        <v/>
      </c>
      <c r="BC197" t="str">
        <f t="shared" si="563"/>
        <v>Spare Space</v>
      </c>
      <c r="BD197" t="str">
        <f t="shared" si="564"/>
        <v/>
      </c>
      <c r="BE197" t="str">
        <f t="shared" si="565"/>
        <v/>
      </c>
      <c r="BF197" t="str">
        <f t="shared" si="566"/>
        <v/>
      </c>
      <c r="BG197" t="str">
        <f t="shared" si="578"/>
        <v/>
      </c>
      <c r="BH197" t="str">
        <f t="shared" si="567"/>
        <v/>
      </c>
      <c r="BL197">
        <f t="shared" si="590"/>
        <v>0</v>
      </c>
      <c r="BN197">
        <f t="shared" si="579"/>
        <v>0</v>
      </c>
      <c r="BP197">
        <f t="shared" si="580"/>
        <v>0</v>
      </c>
      <c r="BR197">
        <f t="shared" si="591"/>
        <v>21</v>
      </c>
      <c r="BS197" s="44" t="str">
        <f xml:space="preserve"> CONCATENATE( VLOOKUP( $BR197+9, Tables!$B$3:$C$36, 2 ) &amp; IF( BR197&gt;=25, VLOOKUP( $BR197+9-24, Tables!$B$3:$C$36, 2 ), "" ) )</f>
        <v>W</v>
      </c>
      <c r="BT197" t="str">
        <f t="shared" si="568"/>
        <v/>
      </c>
      <c r="BV197" t="str">
        <f t="shared" si="581"/>
        <v/>
      </c>
      <c r="BW197" s="44" t="str">
        <f t="shared" si="582"/>
        <v/>
      </c>
      <c r="BX197" t="str">
        <f t="shared" si="583"/>
        <v/>
      </c>
      <c r="BZ197" t="str">
        <f t="shared" si="584"/>
        <v/>
      </c>
      <c r="CA197" t="str">
        <f t="shared" si="584"/>
        <v/>
      </c>
      <c r="CB197" t="str">
        <f t="shared" si="584"/>
        <v/>
      </c>
      <c r="CC197" t="str">
        <f t="shared" si="584"/>
        <v/>
      </c>
      <c r="CD197" t="str">
        <f t="shared" si="584"/>
        <v/>
      </c>
      <c r="CG197" t="str">
        <f t="shared" si="585"/>
        <v/>
      </c>
      <c r="CH197">
        <f t="shared" si="586"/>
        <v>0</v>
      </c>
      <c r="CJ197">
        <f t="shared" si="592"/>
        <v>21</v>
      </c>
      <c r="CK197" t="str">
        <f t="shared" si="570"/>
        <v/>
      </c>
      <c r="DL197"/>
      <c r="ED197" s="44"/>
    </row>
    <row r="198" spans="1:134">
      <c r="A198" t="str">
        <f t="shared" si="587"/>
        <v/>
      </c>
      <c r="B198" s="239" t="str">
        <f t="shared" si="571"/>
        <v/>
      </c>
      <c r="C198" s="44" t="str">
        <f t="shared" si="572"/>
        <v/>
      </c>
      <c r="D198" t="str">
        <f xml:space="preserve"> IF( AND($C198&lt;&gt;"", $C198&gt;0), IF( $CH198&gt;=D$176, VLOOKUP($C198+(D$176-1)*Compartments,$CJ$177:$CK$251,2), VLOOKUP( ($C198-1)*6+D$176-SUM($CH$177:$CH198), $AQ$177:$AT$377, 4 )), "" )</f>
        <v/>
      </c>
      <c r="F198" t="str">
        <f xml:space="preserve"> IF( AND($C198&lt;&gt;"", $C198&gt;0), IF( $CH198&gt;=F$176, VLOOKUP($C198+(F$176-1)*Compartments,$CJ$177:$CK$251,2), VLOOKUP( ($C198-1)*6+F$176-SUM($CH$177:$CH198), $AQ$177:$AT$377, 4 )), "" )</f>
        <v/>
      </c>
      <c r="I198" t="str">
        <f xml:space="preserve"> IF( AND($C198&lt;&gt;"", $C198&gt;0), IF( $CH198&gt;=I$176, VLOOKUP($C198+(I$176-1)*Compartments,$CJ$177:$CK$251,2), VLOOKUP( ($C198-1)*6+I$176-SUM($CH$177:$CH198), $AQ$177:$AT$377, 4 )), "" )</f>
        <v/>
      </c>
      <c r="K198" t="str">
        <f xml:space="preserve"> IF( AND($C198&lt;&gt;"", $C198&gt;0), IF( $CH198&gt;=K$176, VLOOKUP($C198+(K$176-1)*Compartments,$CJ$177:$CK$251,2), VLOOKUP( ($C198-1)*6+K$176-SUM($CH$177:$CH198), $AQ$177:$AT$377, 4 )), "" )</f>
        <v/>
      </c>
      <c r="M198" t="str">
        <f xml:space="preserve"> IF( AND($C198&lt;&gt;"", $C198&gt;0), IF( $CH198&gt;=M$176, VLOOKUP($C198+(M$176-1)*Compartments,$CJ$177:$CK$251,2), VLOOKUP( ($C198-1)*6+M$176-SUM($CH$177:$CH198), $AQ$177:$AT$377, 4 )), "" )</f>
        <v/>
      </c>
      <c r="P198" t="str">
        <f xml:space="preserve"> IF( AND($C198&lt;&gt;"", $C198&gt;0), IF( $CH198&gt;=P$176, VLOOKUP($C198+(P$176-1)*Compartments,$CJ$177:$CK$251,2), VLOOKUP( ($C198-1)*6+P$176-SUM($CH$177:$CH198), $AQ$177:$AT$377, 4 )), "" )</f>
        <v/>
      </c>
      <c r="R198" t="str">
        <f t="shared" si="573"/>
        <v/>
      </c>
      <c r="T198" s="236"/>
      <c r="Y198"/>
      <c r="Z198"/>
      <c r="AA198"/>
      <c r="AQ198">
        <f t="shared" si="589"/>
        <v>22</v>
      </c>
      <c r="AR198" t="str">
        <f t="shared" si="575"/>
        <v>Fuel</v>
      </c>
      <c r="AS198">
        <f t="shared" si="576"/>
        <v>1</v>
      </c>
      <c r="AT198" t="str">
        <f t="shared" si="577"/>
        <v>Fuel, Jump</v>
      </c>
      <c r="AU198" t="str">
        <f t="shared" si="555"/>
        <v/>
      </c>
      <c r="AV198" t="str">
        <f t="shared" si="556"/>
        <v/>
      </c>
      <c r="AW198" t="str">
        <f t="shared" si="557"/>
        <v/>
      </c>
      <c r="AX198" t="str">
        <f t="shared" si="558"/>
        <v/>
      </c>
      <c r="AY198" t="str">
        <f t="shared" si="559"/>
        <v/>
      </c>
      <c r="AZ198" t="str">
        <f t="shared" si="560"/>
        <v/>
      </c>
      <c r="BA198" t="str">
        <f t="shared" si="561"/>
        <v/>
      </c>
      <c r="BB198" t="str">
        <f t="shared" si="562"/>
        <v/>
      </c>
      <c r="BC198" t="str">
        <f t="shared" si="563"/>
        <v/>
      </c>
      <c r="BD198" t="str">
        <f t="shared" si="564"/>
        <v/>
      </c>
      <c r="BE198" t="str">
        <f t="shared" si="565"/>
        <v>Fuel, Jump</v>
      </c>
      <c r="BF198" t="str">
        <f t="shared" si="566"/>
        <v/>
      </c>
      <c r="BG198" t="str">
        <f t="shared" si="578"/>
        <v/>
      </c>
      <c r="BH198" t="str">
        <f t="shared" si="567"/>
        <v/>
      </c>
      <c r="BL198">
        <f t="shared" si="590"/>
        <v>0</v>
      </c>
      <c r="BN198">
        <f t="shared" si="579"/>
        <v>0</v>
      </c>
      <c r="BP198">
        <f t="shared" si="580"/>
        <v>0</v>
      </c>
      <c r="BR198">
        <f t="shared" si="591"/>
        <v>22</v>
      </c>
      <c r="BS198" s="44" t="str">
        <f xml:space="preserve"> CONCATENATE( VLOOKUP( $BR198+9, Tables!$B$3:$C$36, 2 ) &amp; IF( BR198&gt;=25, VLOOKUP( $BR198+9-24, Tables!$B$3:$C$36, 2 ), "" ) )</f>
        <v>X</v>
      </c>
      <c r="BT198" t="str">
        <f t="shared" si="568"/>
        <v/>
      </c>
      <c r="BV198" t="str">
        <f t="shared" si="581"/>
        <v/>
      </c>
      <c r="BW198" s="44" t="str">
        <f t="shared" si="582"/>
        <v/>
      </c>
      <c r="BX198" t="str">
        <f t="shared" si="583"/>
        <v/>
      </c>
      <c r="BZ198" t="str">
        <f t="shared" si="584"/>
        <v/>
      </c>
      <c r="CA198" t="str">
        <f t="shared" si="584"/>
        <v/>
      </c>
      <c r="CB198" t="str">
        <f t="shared" si="584"/>
        <v/>
      </c>
      <c r="CC198" t="str">
        <f t="shared" si="584"/>
        <v/>
      </c>
      <c r="CD198" t="str">
        <f t="shared" si="584"/>
        <v/>
      </c>
      <c r="CG198" t="str">
        <f t="shared" si="585"/>
        <v/>
      </c>
      <c r="CH198">
        <f t="shared" si="586"/>
        <v>0</v>
      </c>
      <c r="CJ198">
        <f t="shared" si="592"/>
        <v>22</v>
      </c>
      <c r="CK198" t="str">
        <f t="shared" si="570"/>
        <v/>
      </c>
      <c r="DL198"/>
      <c r="ED198" s="44"/>
    </row>
    <row r="199" spans="1:134">
      <c r="A199" t="str">
        <f t="shared" si="587"/>
        <v/>
      </c>
      <c r="B199" s="239" t="str">
        <f t="shared" si="571"/>
        <v/>
      </c>
      <c r="C199" s="44" t="str">
        <f t="shared" si="572"/>
        <v/>
      </c>
      <c r="D199" t="str">
        <f xml:space="preserve"> IF( AND($C199&lt;&gt;"", $C199&gt;0), IF( $CH199&gt;=D$176, VLOOKUP($C199+(D$176-1)*Compartments,$CJ$177:$CK$251,2), VLOOKUP( ($C199-1)*6+D$176-SUM($CH$177:$CH199), $AQ$177:$AT$377, 4 )), "" )</f>
        <v/>
      </c>
      <c r="F199" t="str">
        <f xml:space="preserve"> IF( AND($C199&lt;&gt;"", $C199&gt;0), IF( $CH199&gt;=F$176, VLOOKUP($C199+(F$176-1)*Compartments,$CJ$177:$CK$251,2), VLOOKUP( ($C199-1)*6+F$176-SUM($CH$177:$CH199), $AQ$177:$AT$377, 4 )), "" )</f>
        <v/>
      </c>
      <c r="I199" t="str">
        <f xml:space="preserve"> IF( AND($C199&lt;&gt;"", $C199&gt;0), IF( $CH199&gt;=I$176, VLOOKUP($C199+(I$176-1)*Compartments,$CJ$177:$CK$251,2), VLOOKUP( ($C199-1)*6+I$176-SUM($CH$177:$CH199), $AQ$177:$AT$377, 4 )), "" )</f>
        <v/>
      </c>
      <c r="K199" t="str">
        <f xml:space="preserve"> IF( AND($C199&lt;&gt;"", $C199&gt;0), IF( $CH199&gt;=K$176, VLOOKUP($C199+(K$176-1)*Compartments,$CJ$177:$CK$251,2), VLOOKUP( ($C199-1)*6+K$176-SUM($CH$177:$CH199), $AQ$177:$AT$377, 4 )), "" )</f>
        <v/>
      </c>
      <c r="M199" t="str">
        <f xml:space="preserve"> IF( AND($C199&lt;&gt;"", $C199&gt;0), IF( $CH199&gt;=M$176, VLOOKUP($C199+(M$176-1)*Compartments,$CJ$177:$CK$251,2), VLOOKUP( ($C199-1)*6+M$176-SUM($CH$177:$CH199), $AQ$177:$AT$377, 4 )), "" )</f>
        <v/>
      </c>
      <c r="P199" t="str">
        <f xml:space="preserve"> IF( AND($C199&lt;&gt;"", $C199&gt;0), IF( $CH199&gt;=P$176, VLOOKUP($C199+(P$176-1)*Compartments,$CJ$177:$CK$251,2), VLOOKUP( ($C199-1)*6+P$176-SUM($CH$177:$CH199), $AQ$177:$AT$377, 4 )), "" )</f>
        <v/>
      </c>
      <c r="R199" t="str">
        <f t="shared" si="573"/>
        <v/>
      </c>
      <c r="T199" s="236"/>
      <c r="Y199"/>
      <c r="Z199"/>
      <c r="AA199"/>
      <c r="AN199" t="str">
        <f xml:space="preserve"> VLOOKUP( AO196-1, AQ177:AT377, 2 )</f>
        <v>Cargo</v>
      </c>
      <c r="AO199">
        <f xml:space="preserve"> VLOOKUP( AO196-1, AQ177:AT377, 3 )</f>
        <v>3</v>
      </c>
      <c r="AQ199">
        <f t="shared" si="589"/>
        <v>23</v>
      </c>
      <c r="AR199" t="str">
        <f t="shared" si="575"/>
        <v>Fuel</v>
      </c>
      <c r="AS199">
        <f t="shared" si="576"/>
        <v>2</v>
      </c>
      <c r="AT199" t="str">
        <f t="shared" si="577"/>
        <v>Fuel, Jump</v>
      </c>
      <c r="AU199" t="str">
        <f t="shared" si="555"/>
        <v/>
      </c>
      <c r="AV199" t="str">
        <f t="shared" si="556"/>
        <v/>
      </c>
      <c r="AW199" t="str">
        <f t="shared" si="557"/>
        <v/>
      </c>
      <c r="AX199" t="str">
        <f t="shared" si="558"/>
        <v/>
      </c>
      <c r="AY199" t="str">
        <f t="shared" si="559"/>
        <v/>
      </c>
      <c r="AZ199" t="str">
        <f t="shared" si="560"/>
        <v/>
      </c>
      <c r="BA199" t="str">
        <f t="shared" si="561"/>
        <v/>
      </c>
      <c r="BB199" t="str">
        <f t="shared" si="562"/>
        <v/>
      </c>
      <c r="BC199" t="str">
        <f t="shared" si="563"/>
        <v/>
      </c>
      <c r="BD199" t="str">
        <f t="shared" si="564"/>
        <v/>
      </c>
      <c r="BE199" t="str">
        <f t="shared" si="565"/>
        <v>Fuel, Jump</v>
      </c>
      <c r="BF199" t="str">
        <f t="shared" si="566"/>
        <v/>
      </c>
      <c r="BG199" t="str">
        <f t="shared" si="578"/>
        <v/>
      </c>
      <c r="BH199" t="str">
        <f t="shared" si="567"/>
        <v/>
      </c>
      <c r="BL199">
        <f t="shared" si="590"/>
        <v>0</v>
      </c>
      <c r="BN199">
        <f t="shared" si="579"/>
        <v>0</v>
      </c>
      <c r="BP199">
        <f t="shared" si="580"/>
        <v>0</v>
      </c>
      <c r="BR199">
        <f t="shared" si="591"/>
        <v>23</v>
      </c>
      <c r="BS199" s="44" t="str">
        <f xml:space="preserve"> CONCATENATE( VLOOKUP( $BR199+9, Tables!$B$3:$C$36, 2 ) &amp; IF( BR199&gt;=25, VLOOKUP( $BR199+9-24, Tables!$B$3:$C$36, 2 ), "" ) )</f>
        <v>Y</v>
      </c>
      <c r="BT199" t="str">
        <f t="shared" si="568"/>
        <v/>
      </c>
      <c r="BV199" t="str">
        <f t="shared" si="581"/>
        <v/>
      </c>
      <c r="BW199" s="44" t="str">
        <f t="shared" si="582"/>
        <v/>
      </c>
      <c r="BX199" t="str">
        <f t="shared" si="583"/>
        <v/>
      </c>
      <c r="BZ199" t="str">
        <f t="shared" si="584"/>
        <v/>
      </c>
      <c r="CA199" t="str">
        <f t="shared" si="584"/>
        <v/>
      </c>
      <c r="CB199" t="str">
        <f t="shared" si="584"/>
        <v/>
      </c>
      <c r="CC199" t="str">
        <f t="shared" si="584"/>
        <v/>
      </c>
      <c r="CD199" t="str">
        <f t="shared" si="584"/>
        <v/>
      </c>
      <c r="CG199" t="str">
        <f t="shared" si="585"/>
        <v/>
      </c>
      <c r="CH199">
        <f t="shared" si="586"/>
        <v>0</v>
      </c>
      <c r="CJ199">
        <f t="shared" si="592"/>
        <v>23</v>
      </c>
      <c r="CK199" t="str">
        <f t="shared" si="570"/>
        <v/>
      </c>
      <c r="DL199"/>
      <c r="ED199" s="44"/>
    </row>
    <row r="200" spans="1:134">
      <c r="A200" t="str">
        <f t="shared" ref="A200:A205" si="593" xml:space="preserve"> IF( A199&lt;&gt;"", IF( A199+1 &gt; (HitSpan+1), "", A199+1 ), "" )</f>
        <v/>
      </c>
      <c r="B200" s="239" t="str">
        <f t="shared" ref="B200" si="594" xml:space="preserve"> IF( A200&lt;&gt;"", IF( AND( A200&lt;=(Compartments/2), A200&gt;-(Compartments/2) ), 1, 0 ), "" )</f>
        <v/>
      </c>
      <c r="C200" s="44" t="str">
        <f t="shared" ref="C200:C205" si="595" xml:space="preserve"> IF( B200&lt;&gt;"", IF( B200&gt;0, C199+1, 0 ), "" )</f>
        <v/>
      </c>
      <c r="D200" t="str">
        <f xml:space="preserve"> IF( AND($C200&lt;&gt;"", $C200&gt;0), IF( $CH200&gt;=D$176, VLOOKUP($C200+(D$176-1)*Compartments,$CJ$177:$CK$251,2), VLOOKUP( ($C200-1)*6+D$176-SUM($CH$177:$CH200), $AQ$177:$AT$377, 4 )), "" )</f>
        <v/>
      </c>
      <c r="F200" t="str">
        <f xml:space="preserve"> IF( AND($C200&lt;&gt;"", $C200&gt;0), IF( $CH200&gt;=F$176, VLOOKUP($C200+(F$176-1)*Compartments,$CJ$177:$CK$251,2), VLOOKUP( ($C200-1)*6+F$176-SUM($CH$177:$CH200), $AQ$177:$AT$377, 4 )), "" )</f>
        <v/>
      </c>
      <c r="I200" t="str">
        <f xml:space="preserve"> IF( AND($C200&lt;&gt;"", $C200&gt;0), IF( $CH200&gt;=I$176, VLOOKUP($C200+(I$176-1)*Compartments,$CJ$177:$CK$251,2), VLOOKUP( ($C200-1)*6+I$176-SUM($CH$177:$CH200), $AQ$177:$AT$377, 4 )), "" )</f>
        <v/>
      </c>
      <c r="K200" t="str">
        <f xml:space="preserve"> IF( AND($C200&lt;&gt;"", $C200&gt;0), IF( $CH200&gt;=K$176, VLOOKUP($C200+(K$176-1)*Compartments,$CJ$177:$CK$251,2), VLOOKUP( ($C200-1)*6+K$176-SUM($CH$177:$CH200), $AQ$177:$AT$377, 4 )), "" )</f>
        <v/>
      </c>
      <c r="M200" t="str">
        <f xml:space="preserve"> IF( AND($C200&lt;&gt;"", $C200&gt;0), IF( $CH200&gt;=M$176, VLOOKUP($C200+(M$176-1)*Compartments,$CJ$177:$CK$251,2), VLOOKUP( ($C200-1)*6+M$176-SUM($CH$177:$CH200), $AQ$177:$AT$377, 4 )), "" )</f>
        <v/>
      </c>
      <c r="P200" t="str">
        <f xml:space="preserve"> IF( AND($C200&lt;&gt;"", $C200&gt;0), IF( $CH200&gt;=P$176, VLOOKUP($C200+(P$176-1)*Compartments,$CJ$177:$CK$251,2), VLOOKUP( ($C200-1)*6+P$176-SUM($CH$177:$CH200), $AQ$177:$AT$377, 4 )), "" )</f>
        <v/>
      </c>
      <c r="R200" t="str">
        <f t="shared" si="573"/>
        <v/>
      </c>
      <c r="T200" s="236"/>
      <c r="Y200"/>
      <c r="Z200"/>
      <c r="AA200"/>
      <c r="AQ200">
        <f t="shared" si="589"/>
        <v>24</v>
      </c>
      <c r="AR200" t="str">
        <f t="shared" si="575"/>
        <v>Fuel</v>
      </c>
      <c r="AS200">
        <f t="shared" si="576"/>
        <v>3</v>
      </c>
      <c r="AT200" t="str">
        <f t="shared" si="577"/>
        <v>Fuel, Jump</v>
      </c>
      <c r="AU200" t="str">
        <f t="shared" si="555"/>
        <v/>
      </c>
      <c r="AV200" t="str">
        <f t="shared" si="556"/>
        <v/>
      </c>
      <c r="AW200" t="str">
        <f t="shared" si="557"/>
        <v/>
      </c>
      <c r="AX200" t="str">
        <f t="shared" si="558"/>
        <v/>
      </c>
      <c r="AY200" t="str">
        <f t="shared" si="559"/>
        <v/>
      </c>
      <c r="AZ200" t="str">
        <f t="shared" si="560"/>
        <v/>
      </c>
      <c r="BA200" t="str">
        <f t="shared" si="561"/>
        <v/>
      </c>
      <c r="BB200" t="str">
        <f t="shared" si="562"/>
        <v/>
      </c>
      <c r="BC200" t="str">
        <f t="shared" si="563"/>
        <v/>
      </c>
      <c r="BD200" t="str">
        <f t="shared" si="564"/>
        <v/>
      </c>
      <c r="BE200" t="str">
        <f t="shared" si="565"/>
        <v>Fuel, Jump</v>
      </c>
      <c r="BF200" t="str">
        <f t="shared" si="566"/>
        <v/>
      </c>
      <c r="BG200" t="str">
        <f t="shared" si="578"/>
        <v/>
      </c>
      <c r="BH200" t="str">
        <f t="shared" si="567"/>
        <v/>
      </c>
      <c r="BL200">
        <f t="shared" si="590"/>
        <v>0</v>
      </c>
      <c r="BN200">
        <f t="shared" si="579"/>
        <v>0</v>
      </c>
      <c r="BP200">
        <f t="shared" si="580"/>
        <v>0</v>
      </c>
      <c r="BR200">
        <f t="shared" si="591"/>
        <v>24</v>
      </c>
      <c r="BS200" s="44" t="str">
        <f xml:space="preserve"> CONCATENATE( VLOOKUP( $BR200+9, Tables!$B$3:$C$36, 2 ) &amp; IF( BR200&gt;=25, VLOOKUP( $BR200+9-24, Tables!$B$3:$C$36, 2 ), "" ) )</f>
        <v>Z</v>
      </c>
      <c r="BT200" t="str">
        <f t="shared" si="568"/>
        <v/>
      </c>
      <c r="BV200" t="str">
        <f t="shared" si="581"/>
        <v/>
      </c>
      <c r="BW200" s="44" t="str">
        <f t="shared" si="582"/>
        <v/>
      </c>
      <c r="BX200" t="str">
        <f t="shared" si="583"/>
        <v/>
      </c>
      <c r="BZ200" t="str">
        <f t="shared" si="584"/>
        <v/>
      </c>
      <c r="CA200" t="str">
        <f t="shared" si="584"/>
        <v/>
      </c>
      <c r="CB200" t="str">
        <f t="shared" si="584"/>
        <v/>
      </c>
      <c r="CC200" t="str">
        <f t="shared" si="584"/>
        <v/>
      </c>
      <c r="CD200" t="str">
        <f t="shared" si="584"/>
        <v/>
      </c>
      <c r="CG200" t="str">
        <f t="shared" si="585"/>
        <v/>
      </c>
      <c r="CH200">
        <f t="shared" si="586"/>
        <v>0</v>
      </c>
      <c r="CJ200">
        <f t="shared" si="592"/>
        <v>24</v>
      </c>
      <c r="CK200" t="str">
        <f t="shared" si="570"/>
        <v/>
      </c>
      <c r="DL200"/>
      <c r="ED200" s="44"/>
    </row>
    <row r="201" spans="1:134">
      <c r="A201" t="str">
        <f t="shared" si="593"/>
        <v/>
      </c>
      <c r="B201" s="239" t="str">
        <f t="shared" ref="B201" si="596" xml:space="preserve"> IF( A201&lt;&gt;"", IF( AND( A201&lt;=(Compartments/2), A201&gt;-(Compartments/2) ), 1, 0 ), "" )</f>
        <v/>
      </c>
      <c r="C201" s="44" t="str">
        <f t="shared" si="595"/>
        <v/>
      </c>
      <c r="D201" t="str">
        <f xml:space="preserve"> IF( AND($C201&lt;&gt;"", $C201&gt;0), IF( $CH201&gt;=D$176, VLOOKUP($C201+(D$176-1)*Compartments,$CJ$177:$CK$251,2), VLOOKUP( ($C201-1)*6+D$176-SUM($CH$177:$CH201), $AQ$177:$AT$377, 4 )), "" )</f>
        <v/>
      </c>
      <c r="F201" t="str">
        <f xml:space="preserve"> IF( AND($C201&lt;&gt;"", $C201&gt;0), IF( $CH201&gt;=F$176, VLOOKUP($C201+(F$176-1)*Compartments,$CJ$177:$CK$251,2), VLOOKUP( ($C201-1)*6+F$176-SUM($CH$177:$CH201), $AQ$177:$AT$377, 4 )), "" )</f>
        <v/>
      </c>
      <c r="I201" t="str">
        <f xml:space="preserve"> IF( AND($C201&lt;&gt;"", $C201&gt;0), IF( $CH201&gt;=I$176, VLOOKUP($C201+(I$176-1)*Compartments,$CJ$177:$CK$251,2), VLOOKUP( ($C201-1)*6+I$176-SUM($CH$177:$CH201), $AQ$177:$AT$377, 4 )), "" )</f>
        <v/>
      </c>
      <c r="K201" t="str">
        <f xml:space="preserve"> IF( AND($C201&lt;&gt;"", $C201&gt;0), IF( $CH201&gt;=K$176, VLOOKUP($C201+(K$176-1)*Compartments,$CJ$177:$CK$251,2), VLOOKUP( ($C201-1)*6+K$176-SUM($CH$177:$CH201), $AQ$177:$AT$377, 4 )), "" )</f>
        <v/>
      </c>
      <c r="M201" t="str">
        <f xml:space="preserve"> IF( AND($C201&lt;&gt;"", $C201&gt;0), IF( $CH201&gt;=M$176, VLOOKUP($C201+(M$176-1)*Compartments,$CJ$177:$CK$251,2), VLOOKUP( ($C201-1)*6+M$176-SUM($CH$177:$CH201), $AQ$177:$AT$377, 4 )), "" )</f>
        <v/>
      </c>
      <c r="P201" t="str">
        <f xml:space="preserve"> IF( AND($C201&lt;&gt;"", $C201&gt;0), IF( $CH201&gt;=P$176, VLOOKUP($C201+(P$176-1)*Compartments,$CJ$177:$CK$251,2), VLOOKUP( ($C201-1)*6+P$176-SUM($CH$177:$CH201), $AQ$177:$AT$377, 4 )), "" )</f>
        <v/>
      </c>
      <c r="R201" t="str">
        <f t="shared" si="573"/>
        <v/>
      </c>
      <c r="T201" s="236"/>
      <c r="Y201"/>
      <c r="Z201"/>
      <c r="AA201"/>
      <c r="AQ201">
        <f t="shared" si="589"/>
        <v>25</v>
      </c>
      <c r="AR201" t="str">
        <f t="shared" si="575"/>
        <v>Fuel</v>
      </c>
      <c r="AS201">
        <f t="shared" si="576"/>
        <v>4</v>
      </c>
      <c r="AT201" t="str">
        <f t="shared" si="577"/>
        <v>Fuel, Jump</v>
      </c>
      <c r="AU201" t="str">
        <f t="shared" si="555"/>
        <v/>
      </c>
      <c r="AV201" t="str">
        <f t="shared" si="556"/>
        <v/>
      </c>
      <c r="AW201" t="str">
        <f t="shared" si="557"/>
        <v/>
      </c>
      <c r="AX201" t="str">
        <f t="shared" si="558"/>
        <v/>
      </c>
      <c r="AY201" t="str">
        <f t="shared" si="559"/>
        <v/>
      </c>
      <c r="AZ201" t="str">
        <f t="shared" si="560"/>
        <v/>
      </c>
      <c r="BA201" t="str">
        <f t="shared" si="561"/>
        <v/>
      </c>
      <c r="BB201" t="str">
        <f t="shared" si="562"/>
        <v/>
      </c>
      <c r="BC201" t="str">
        <f t="shared" si="563"/>
        <v/>
      </c>
      <c r="BD201" t="str">
        <f t="shared" si="564"/>
        <v/>
      </c>
      <c r="BE201" t="str">
        <f t="shared" si="565"/>
        <v>Fuel, Jump</v>
      </c>
      <c r="BF201" t="str">
        <f t="shared" si="566"/>
        <v/>
      </c>
      <c r="BG201" t="str">
        <f t="shared" si="578"/>
        <v/>
      </c>
      <c r="BH201" t="str">
        <f t="shared" si="567"/>
        <v/>
      </c>
      <c r="BL201">
        <f t="shared" si="590"/>
        <v>0</v>
      </c>
      <c r="BN201">
        <f t="shared" si="579"/>
        <v>0</v>
      </c>
      <c r="BP201">
        <f t="shared" si="580"/>
        <v>0</v>
      </c>
      <c r="BR201">
        <f t="shared" si="591"/>
        <v>25</v>
      </c>
      <c r="BS201" s="44" t="str">
        <f xml:space="preserve"> CONCATENATE( VLOOKUP( $BR201+9, Tables!$B$3:$C$36, 2 ) &amp; IF( BR201&gt;=25, VLOOKUP( $BR201+9-24, Tables!$B$3:$C$36, 2 ), "" ) )</f>
        <v>ZA</v>
      </c>
      <c r="BT201" t="str">
        <f t="shared" si="568"/>
        <v/>
      </c>
      <c r="BV201" t="str">
        <f t="shared" si="581"/>
        <v/>
      </c>
      <c r="BW201" s="44" t="str">
        <f t="shared" si="582"/>
        <v/>
      </c>
      <c r="BX201" t="str">
        <f t="shared" si="583"/>
        <v/>
      </c>
      <c r="BZ201" t="str">
        <f t="shared" si="584"/>
        <v/>
      </c>
      <c r="CA201" t="str">
        <f t="shared" si="584"/>
        <v/>
      </c>
      <c r="CB201" t="str">
        <f t="shared" si="584"/>
        <v/>
      </c>
      <c r="CC201" t="str">
        <f t="shared" si="584"/>
        <v/>
      </c>
      <c r="CD201" t="str">
        <f t="shared" si="584"/>
        <v/>
      </c>
      <c r="CG201" t="str">
        <f t="shared" si="585"/>
        <v/>
      </c>
      <c r="CH201">
        <f t="shared" si="586"/>
        <v>0</v>
      </c>
      <c r="CJ201">
        <f t="shared" si="592"/>
        <v>25</v>
      </c>
      <c r="CK201" t="str">
        <f t="shared" si="570"/>
        <v/>
      </c>
      <c r="DL201"/>
      <c r="ED201" s="44"/>
    </row>
    <row r="202" spans="1:134">
      <c r="A202" t="str">
        <f t="shared" si="593"/>
        <v/>
      </c>
      <c r="B202" s="239" t="str">
        <f t="shared" ref="B202" si="597" xml:space="preserve"> IF( A202&lt;&gt;"", IF( AND( A202&lt;=(Compartments/2), A202&gt;-(Compartments/2) ), 1, 0 ), "" )</f>
        <v/>
      </c>
      <c r="C202" s="44" t="str">
        <f t="shared" si="595"/>
        <v/>
      </c>
      <c r="D202" t="str">
        <f xml:space="preserve"> IF( AND($C202&lt;&gt;"", $C202&gt;0), IF( $CH202&gt;=D$176, VLOOKUP($C202+(D$176-1)*Compartments,$CJ$177:$CK$251,2), VLOOKUP( ($C202-1)*6+D$176-SUM($CH$177:$CH202), $AQ$177:$AT$377, 4 )), "" )</f>
        <v/>
      </c>
      <c r="F202" t="str">
        <f xml:space="preserve"> IF( AND($C202&lt;&gt;"", $C202&gt;0), IF( $CH202&gt;=F$176, VLOOKUP($C202+(F$176-1)*Compartments,$CJ$177:$CK$251,2), VLOOKUP( ($C202-1)*6+F$176-SUM($CH$177:$CH202), $AQ$177:$AT$377, 4 )), "" )</f>
        <v/>
      </c>
      <c r="I202" t="str">
        <f xml:space="preserve"> IF( AND($C202&lt;&gt;"", $C202&gt;0), IF( $CH202&gt;=I$176, VLOOKUP($C202+(I$176-1)*Compartments,$CJ$177:$CK$251,2), VLOOKUP( ($C202-1)*6+I$176-SUM($CH$177:$CH202), $AQ$177:$AT$377, 4 )), "" )</f>
        <v/>
      </c>
      <c r="K202" t="str">
        <f xml:space="preserve"> IF( AND($C202&lt;&gt;"", $C202&gt;0), IF( $CH202&gt;=K$176, VLOOKUP($C202+(K$176-1)*Compartments,$CJ$177:$CK$251,2), VLOOKUP( ($C202-1)*6+K$176-SUM($CH$177:$CH202), $AQ$177:$AT$377, 4 )), "" )</f>
        <v/>
      </c>
      <c r="M202" t="str">
        <f xml:space="preserve"> IF( AND($C202&lt;&gt;"", $C202&gt;0), IF( $CH202&gt;=M$176, VLOOKUP($C202+(M$176-1)*Compartments,$CJ$177:$CK$251,2), VLOOKUP( ($C202-1)*6+M$176-SUM($CH$177:$CH202), $AQ$177:$AT$377, 4 )), "" )</f>
        <v/>
      </c>
      <c r="P202" t="str">
        <f xml:space="preserve"> IF( AND($C202&lt;&gt;"", $C202&gt;0), IF( $CH202&gt;=P$176, VLOOKUP($C202+(P$176-1)*Compartments,$CJ$177:$CK$251,2), VLOOKUP( ($C202-1)*6+P$176-SUM($CH$177:$CH202), $AQ$177:$AT$377, 4 )), "" )</f>
        <v/>
      </c>
      <c r="R202" t="str">
        <f t="shared" si="573"/>
        <v/>
      </c>
      <c r="T202" s="236"/>
      <c r="Y202"/>
      <c r="Z202"/>
      <c r="AA202"/>
      <c r="AQ202">
        <f t="shared" si="589"/>
        <v>26</v>
      </c>
      <c r="AR202" t="str">
        <f t="shared" si="575"/>
        <v>Fuel</v>
      </c>
      <c r="AS202">
        <f t="shared" si="576"/>
        <v>5</v>
      </c>
      <c r="AT202" t="str">
        <f t="shared" si="577"/>
        <v>Fuel, Jump</v>
      </c>
      <c r="AU202" t="str">
        <f t="shared" si="555"/>
        <v/>
      </c>
      <c r="AV202" t="str">
        <f t="shared" si="556"/>
        <v/>
      </c>
      <c r="AW202" t="str">
        <f t="shared" si="557"/>
        <v/>
      </c>
      <c r="AX202" t="str">
        <f t="shared" si="558"/>
        <v/>
      </c>
      <c r="AY202" t="str">
        <f t="shared" si="559"/>
        <v/>
      </c>
      <c r="AZ202" t="str">
        <f t="shared" si="560"/>
        <v/>
      </c>
      <c r="BA202" t="str">
        <f t="shared" si="561"/>
        <v/>
      </c>
      <c r="BB202" t="str">
        <f t="shared" si="562"/>
        <v/>
      </c>
      <c r="BC202" t="str">
        <f t="shared" si="563"/>
        <v/>
      </c>
      <c r="BD202" t="str">
        <f t="shared" si="564"/>
        <v/>
      </c>
      <c r="BE202" t="str">
        <f t="shared" si="565"/>
        <v>Fuel, Jump</v>
      </c>
      <c r="BF202" t="str">
        <f t="shared" si="566"/>
        <v/>
      </c>
      <c r="BG202" t="str">
        <f t="shared" si="578"/>
        <v/>
      </c>
      <c r="BH202" t="str">
        <f t="shared" si="567"/>
        <v/>
      </c>
      <c r="BL202">
        <f t="shared" si="590"/>
        <v>0</v>
      </c>
      <c r="BN202">
        <f t="shared" si="579"/>
        <v>0</v>
      </c>
      <c r="BP202">
        <f t="shared" si="580"/>
        <v>0</v>
      </c>
      <c r="BR202">
        <f t="shared" si="591"/>
        <v>26</v>
      </c>
      <c r="BS202" s="44" t="str">
        <f xml:space="preserve"> CONCATENATE( VLOOKUP( $BR202+9, Tables!$B$3:$C$36, 2 ) &amp; IF( BR202&gt;=25, VLOOKUP( $BR202+9-24, Tables!$B$3:$C$36, 2 ), "" ) )</f>
        <v>ZB</v>
      </c>
      <c r="BT202" t="str">
        <f t="shared" si="568"/>
        <v/>
      </c>
      <c r="BV202" t="str">
        <f t="shared" si="581"/>
        <v/>
      </c>
      <c r="BW202" s="44" t="str">
        <f t="shared" si="582"/>
        <v/>
      </c>
      <c r="BX202" t="str">
        <f t="shared" si="583"/>
        <v/>
      </c>
      <c r="BZ202" t="str">
        <f t="shared" si="584"/>
        <v/>
      </c>
      <c r="CA202" t="str">
        <f t="shared" si="584"/>
        <v/>
      </c>
      <c r="CB202" t="str">
        <f t="shared" si="584"/>
        <v/>
      </c>
      <c r="CC202" t="str">
        <f t="shared" si="584"/>
        <v/>
      </c>
      <c r="CD202" t="str">
        <f t="shared" si="584"/>
        <v/>
      </c>
      <c r="CG202" t="str">
        <f t="shared" si="585"/>
        <v/>
      </c>
      <c r="CH202">
        <f t="shared" si="586"/>
        <v>0</v>
      </c>
      <c r="CJ202">
        <f t="shared" si="592"/>
        <v>26</v>
      </c>
      <c r="CK202" t="str">
        <f t="shared" si="570"/>
        <v/>
      </c>
      <c r="DL202"/>
      <c r="ED202" s="44"/>
    </row>
    <row r="203" spans="1:134">
      <c r="A203" t="str">
        <f t="shared" si="593"/>
        <v/>
      </c>
      <c r="B203" s="239" t="str">
        <f t="shared" ref="B203" si="598" xml:space="preserve"> IF( A203&lt;&gt;"", IF( AND( A203&lt;=(Compartments/2), A203&gt;-(Compartments/2) ), 1, 0 ), "" )</f>
        <v/>
      </c>
      <c r="C203" s="44" t="str">
        <f t="shared" si="595"/>
        <v/>
      </c>
      <c r="D203" t="str">
        <f xml:space="preserve"> IF( AND($C203&lt;&gt;"", $C203&gt;0), IF( $CH203&gt;=D$176, VLOOKUP($C203+(D$176-1)*Compartments,$CJ$177:$CK$251,2), VLOOKUP( ($C203-1)*6+D$176-SUM($CH$177:$CH203), $AQ$177:$AT$377, 4 )), "" )</f>
        <v/>
      </c>
      <c r="F203" t="str">
        <f xml:space="preserve"> IF( AND($C203&lt;&gt;"", $C203&gt;0), IF( $CH203&gt;=F$176, VLOOKUP($C203+(F$176-1)*Compartments,$CJ$177:$CK$251,2), VLOOKUP( ($C203-1)*6+F$176-SUM($CH$177:$CH203), $AQ$177:$AT$377, 4 )), "" )</f>
        <v/>
      </c>
      <c r="I203" t="str">
        <f xml:space="preserve"> IF( AND($C203&lt;&gt;"", $C203&gt;0), IF( $CH203&gt;=I$176, VLOOKUP($C203+(I$176-1)*Compartments,$CJ$177:$CK$251,2), VLOOKUP( ($C203-1)*6+I$176-SUM($CH$177:$CH203), $AQ$177:$AT$377, 4 )), "" )</f>
        <v/>
      </c>
      <c r="K203" t="str">
        <f xml:space="preserve"> IF( AND($C203&lt;&gt;"", $C203&gt;0), IF( $CH203&gt;=K$176, VLOOKUP($C203+(K$176-1)*Compartments,$CJ$177:$CK$251,2), VLOOKUP( ($C203-1)*6+K$176-SUM($CH$177:$CH203), $AQ$177:$AT$377, 4 )), "" )</f>
        <v/>
      </c>
      <c r="M203" t="str">
        <f xml:space="preserve"> IF( AND($C203&lt;&gt;"", $C203&gt;0), IF( $CH203&gt;=M$176, VLOOKUP($C203+(M$176-1)*Compartments,$CJ$177:$CK$251,2), VLOOKUP( ($C203-1)*6+M$176-SUM($CH$177:$CH203), $AQ$177:$AT$377, 4 )), "" )</f>
        <v/>
      </c>
      <c r="P203" t="str">
        <f xml:space="preserve"> IF( AND($C203&lt;&gt;"", $C203&gt;0), IF( $CH203&gt;=P$176, VLOOKUP($C203+(P$176-1)*Compartments,$CJ$177:$CK$251,2), VLOOKUP( ($C203-1)*6+P$176-SUM($CH$177:$CH203), $AQ$177:$AT$377, 4 )), "" )</f>
        <v/>
      </c>
      <c r="R203" t="str">
        <f t="shared" si="573"/>
        <v/>
      </c>
      <c r="T203" s="236"/>
      <c r="Y203"/>
      <c r="Z203"/>
      <c r="AA203"/>
      <c r="AQ203">
        <f t="shared" si="589"/>
        <v>27</v>
      </c>
      <c r="AR203" t="str">
        <f t="shared" si="575"/>
        <v>Fuel</v>
      </c>
      <c r="AS203">
        <f t="shared" si="576"/>
        <v>6</v>
      </c>
      <c r="AT203" t="str">
        <f t="shared" si="577"/>
        <v>Fuel, Jump</v>
      </c>
      <c r="AU203" t="str">
        <f t="shared" si="555"/>
        <v/>
      </c>
      <c r="AV203" t="str">
        <f t="shared" si="556"/>
        <v/>
      </c>
      <c r="AW203" t="str">
        <f t="shared" si="557"/>
        <v/>
      </c>
      <c r="AX203" t="str">
        <f t="shared" si="558"/>
        <v/>
      </c>
      <c r="AY203" t="str">
        <f t="shared" si="559"/>
        <v/>
      </c>
      <c r="AZ203" t="str">
        <f t="shared" si="560"/>
        <v/>
      </c>
      <c r="BA203" t="str">
        <f t="shared" si="561"/>
        <v/>
      </c>
      <c r="BB203" t="str">
        <f t="shared" si="562"/>
        <v/>
      </c>
      <c r="BC203" t="str">
        <f t="shared" si="563"/>
        <v/>
      </c>
      <c r="BD203" t="str">
        <f t="shared" si="564"/>
        <v/>
      </c>
      <c r="BE203" t="str">
        <f t="shared" si="565"/>
        <v>Fuel, Jump</v>
      </c>
      <c r="BF203" t="str">
        <f t="shared" si="566"/>
        <v/>
      </c>
      <c r="BG203" t="str">
        <f t="shared" si="578"/>
        <v/>
      </c>
      <c r="BH203" t="str">
        <f t="shared" si="567"/>
        <v/>
      </c>
      <c r="BL203">
        <f t="shared" si="590"/>
        <v>0</v>
      </c>
      <c r="BN203">
        <f t="shared" si="579"/>
        <v>0</v>
      </c>
      <c r="BP203">
        <f t="shared" si="580"/>
        <v>0</v>
      </c>
      <c r="BR203">
        <f t="shared" si="591"/>
        <v>27</v>
      </c>
      <c r="BS203" s="44" t="str">
        <f xml:space="preserve"> CONCATENATE( VLOOKUP( $BR203+9, Tables!$B$3:$C$36, 2 ) &amp; IF( BR203&gt;=25, VLOOKUP( $BR203+9-24, Tables!$B$3:$C$36, 2 ), "" ) )</f>
        <v>ZC</v>
      </c>
      <c r="BT203" t="str">
        <f t="shared" si="568"/>
        <v/>
      </c>
      <c r="BV203" t="str">
        <f t="shared" si="581"/>
        <v/>
      </c>
      <c r="BW203" s="44" t="str">
        <f t="shared" si="582"/>
        <v/>
      </c>
      <c r="BX203" t="str">
        <f t="shared" si="583"/>
        <v/>
      </c>
      <c r="BZ203" t="str">
        <f t="shared" si="584"/>
        <v/>
      </c>
      <c r="CA203" t="str">
        <f t="shared" si="584"/>
        <v/>
      </c>
      <c r="CB203" t="str">
        <f t="shared" si="584"/>
        <v/>
      </c>
      <c r="CC203" t="str">
        <f t="shared" si="584"/>
        <v/>
      </c>
      <c r="CD203" t="str">
        <f t="shared" si="584"/>
        <v/>
      </c>
      <c r="CG203" t="str">
        <f t="shared" si="585"/>
        <v/>
      </c>
      <c r="CH203">
        <f t="shared" si="586"/>
        <v>0</v>
      </c>
      <c r="CJ203">
        <f t="shared" si="592"/>
        <v>27</v>
      </c>
      <c r="CK203" t="str">
        <f t="shared" si="570"/>
        <v/>
      </c>
      <c r="DL203"/>
      <c r="ED203" s="44"/>
    </row>
    <row r="204" spans="1:134">
      <c r="A204" t="str">
        <f t="shared" si="593"/>
        <v/>
      </c>
      <c r="B204" s="239" t="str">
        <f t="shared" ref="B204" si="599" xml:space="preserve"> IF( A204&lt;&gt;"", IF( AND( A204&lt;=(Compartments/2), A204&gt;-(Compartments/2) ), 1, 0 ), "" )</f>
        <v/>
      </c>
      <c r="C204" s="44" t="str">
        <f t="shared" si="595"/>
        <v/>
      </c>
      <c r="D204" t="str">
        <f xml:space="preserve"> IF( AND($C204&lt;&gt;"", $C204&gt;0), IF( $CH204&gt;=D$176, VLOOKUP($C204+(D$176-1)*Compartments,$CJ$177:$CK$251,2), VLOOKUP( ($C204-1)*6+D$176-SUM($CH$177:$CH204), $AQ$177:$AT$377, 4 )), "" )</f>
        <v/>
      </c>
      <c r="F204" t="str">
        <f xml:space="preserve"> IF( AND($C204&lt;&gt;"", $C204&gt;0), IF( $CH204&gt;=F$176, VLOOKUP($C204+(F$176-1)*Compartments,$CJ$177:$CK$251,2), VLOOKUP( ($C204-1)*6+F$176-SUM($CH$177:$CH204), $AQ$177:$AT$377, 4 )), "" )</f>
        <v/>
      </c>
      <c r="I204" t="str">
        <f xml:space="preserve"> IF( AND($C204&lt;&gt;"", $C204&gt;0), IF( $CH204&gt;=I$176, VLOOKUP($C204+(I$176-1)*Compartments,$CJ$177:$CK$251,2), VLOOKUP( ($C204-1)*6+I$176-SUM($CH$177:$CH204), $AQ$177:$AT$377, 4 )), "" )</f>
        <v/>
      </c>
      <c r="K204" t="str">
        <f xml:space="preserve"> IF( AND($C204&lt;&gt;"", $C204&gt;0), IF( $CH204&gt;=K$176, VLOOKUP($C204+(K$176-1)*Compartments,$CJ$177:$CK$251,2), VLOOKUP( ($C204-1)*6+K$176-SUM($CH$177:$CH204), $AQ$177:$AT$377, 4 )), "" )</f>
        <v/>
      </c>
      <c r="M204" t="str">
        <f xml:space="preserve"> IF( AND($C204&lt;&gt;"", $C204&gt;0), IF( $CH204&gt;=M$176, VLOOKUP($C204+(M$176-1)*Compartments,$CJ$177:$CK$251,2), VLOOKUP( ($C204-1)*6+M$176-SUM($CH$177:$CH204), $AQ$177:$AT$377, 4 )), "" )</f>
        <v/>
      </c>
      <c r="P204" t="str">
        <f xml:space="preserve"> IF( AND($C204&lt;&gt;"", $C204&gt;0), IF( $CH204&gt;=P$176, VLOOKUP($C204+(P$176-1)*Compartments,$CJ$177:$CK$251,2), VLOOKUP( ($C204-1)*6+P$176-SUM($CH$177:$CH204), $AQ$177:$AT$377, 4 )), "" )</f>
        <v/>
      </c>
      <c r="R204" t="str">
        <f t="shared" si="573"/>
        <v/>
      </c>
      <c r="T204" s="236"/>
      <c r="Y204"/>
      <c r="Z204"/>
      <c r="AA204"/>
      <c r="AQ204">
        <f t="shared" si="589"/>
        <v>28</v>
      </c>
      <c r="AR204" t="str">
        <f t="shared" si="575"/>
        <v>Fuel</v>
      </c>
      <c r="AS204">
        <f t="shared" si="576"/>
        <v>7</v>
      </c>
      <c r="AT204" t="str">
        <f t="shared" si="577"/>
        <v>Fuel, Power</v>
      </c>
      <c r="AU204" t="str">
        <f t="shared" si="555"/>
        <v/>
      </c>
      <c r="AV204" t="str">
        <f t="shared" si="556"/>
        <v/>
      </c>
      <c r="AW204" t="str">
        <f t="shared" si="557"/>
        <v/>
      </c>
      <c r="AX204" t="str">
        <f t="shared" si="558"/>
        <v/>
      </c>
      <c r="AY204" t="str">
        <f t="shared" si="559"/>
        <v/>
      </c>
      <c r="AZ204" t="str">
        <f t="shared" si="560"/>
        <v/>
      </c>
      <c r="BA204" t="str">
        <f t="shared" si="561"/>
        <v/>
      </c>
      <c r="BB204" t="str">
        <f t="shared" si="562"/>
        <v/>
      </c>
      <c r="BC204" t="str">
        <f t="shared" si="563"/>
        <v/>
      </c>
      <c r="BD204" t="str">
        <f t="shared" si="564"/>
        <v/>
      </c>
      <c r="BE204" t="str">
        <f t="shared" si="565"/>
        <v>Fuel, Power</v>
      </c>
      <c r="BF204" t="str">
        <f t="shared" si="566"/>
        <v/>
      </c>
      <c r="BG204" t="str">
        <f t="shared" si="578"/>
        <v/>
      </c>
      <c r="BH204" t="str">
        <f t="shared" si="567"/>
        <v/>
      </c>
      <c r="BL204">
        <f t="shared" si="590"/>
        <v>0</v>
      </c>
      <c r="BN204">
        <f t="shared" si="579"/>
        <v>0</v>
      </c>
      <c r="BP204">
        <f t="shared" si="580"/>
        <v>0</v>
      </c>
      <c r="BR204">
        <f t="shared" si="591"/>
        <v>28</v>
      </c>
      <c r="BS204" s="44" t="str">
        <f xml:space="preserve"> CONCATENATE( VLOOKUP( $BR204+9, Tables!$B$3:$C$36, 2 ) &amp; IF( BR204&gt;=25, VLOOKUP( $BR204+9-24, Tables!$B$3:$C$36, 2 ), "" ) )</f>
        <v>ZD</v>
      </c>
      <c r="BT204" t="str">
        <f t="shared" si="568"/>
        <v/>
      </c>
      <c r="BV204" t="str">
        <f t="shared" si="581"/>
        <v/>
      </c>
      <c r="BW204" s="44" t="str">
        <f t="shared" si="582"/>
        <v/>
      </c>
      <c r="BX204" t="str">
        <f t="shared" si="583"/>
        <v/>
      </c>
      <c r="BZ204" t="str">
        <f t="shared" si="584"/>
        <v/>
      </c>
      <c r="CA204" t="str">
        <f t="shared" si="584"/>
        <v/>
      </c>
      <c r="CB204" t="str">
        <f t="shared" si="584"/>
        <v/>
      </c>
      <c r="CC204" t="str">
        <f t="shared" si="584"/>
        <v/>
      </c>
      <c r="CD204" t="str">
        <f t="shared" si="584"/>
        <v/>
      </c>
      <c r="CG204" t="str">
        <f t="shared" si="585"/>
        <v/>
      </c>
      <c r="CH204">
        <f t="shared" si="586"/>
        <v>0</v>
      </c>
      <c r="CJ204">
        <f t="shared" si="592"/>
        <v>28</v>
      </c>
      <c r="CK204" t="str">
        <f t="shared" si="570"/>
        <v/>
      </c>
      <c r="DL204"/>
      <c r="ED204" s="44"/>
    </row>
    <row r="205" spans="1:134">
      <c r="A205" t="str">
        <f t="shared" si="593"/>
        <v/>
      </c>
      <c r="B205" s="239" t="str">
        <f t="shared" ref="B205" si="600" xml:space="preserve"> IF( A205&lt;&gt;"", IF( AND( A205&lt;=(Compartments/2), A205&gt;-(Compartments/2) ), 1, 0 ), "" )</f>
        <v/>
      </c>
      <c r="C205" s="44" t="str">
        <f t="shared" si="595"/>
        <v/>
      </c>
      <c r="D205" t="str">
        <f xml:space="preserve"> IF( AND($C205&lt;&gt;"", $C205&gt;0), IF( $CH205&gt;=D$176, VLOOKUP($C205+(D$176-1)*Compartments,$CJ$177:$CK$251,2), VLOOKUP( ($C205-1)*6+D$176-SUM($CH$177:$CH205), $AQ$177:$AT$377, 4 )), "" )</f>
        <v/>
      </c>
      <c r="F205" t="str">
        <f xml:space="preserve"> IF( AND($C205&lt;&gt;"", $C205&gt;0), IF( $CH205&gt;=F$176, VLOOKUP($C205+(F$176-1)*Compartments,$CJ$177:$CK$251,2), VLOOKUP( ($C205-1)*6+F$176-SUM($CH$177:$CH205), $AQ$177:$AT$377, 4 )), "" )</f>
        <v/>
      </c>
      <c r="I205" t="str">
        <f xml:space="preserve"> IF( AND($C205&lt;&gt;"", $C205&gt;0), IF( $CH205&gt;=I$176, VLOOKUP($C205+(I$176-1)*Compartments,$CJ$177:$CK$251,2), VLOOKUP( ($C205-1)*6+I$176-SUM($CH$177:$CH205), $AQ$177:$AT$377, 4 )), "" )</f>
        <v/>
      </c>
      <c r="K205" t="str">
        <f xml:space="preserve"> IF( AND($C205&lt;&gt;"", $C205&gt;0), IF( $CH205&gt;=K$176, VLOOKUP($C205+(K$176-1)*Compartments,$CJ$177:$CK$251,2), VLOOKUP( ($C205-1)*6+K$176-SUM($CH$177:$CH205), $AQ$177:$AT$377, 4 )), "" )</f>
        <v/>
      </c>
      <c r="M205" t="str">
        <f xml:space="preserve"> IF( AND($C205&lt;&gt;"", $C205&gt;0), IF( $CH205&gt;=M$176, VLOOKUP($C205+(M$176-1)*Compartments,$CJ$177:$CK$251,2), VLOOKUP( ($C205-1)*6+M$176-SUM($CH$177:$CH205), $AQ$177:$AT$377, 4 )), "" )</f>
        <v/>
      </c>
      <c r="P205" t="str">
        <f xml:space="preserve"> IF( AND($C205&lt;&gt;"", $C205&gt;0), IF( $CH205&gt;=P$176, VLOOKUP($C205+(P$176-1)*Compartments,$CJ$177:$CK$251,2), VLOOKUP( ($C205-1)*6+P$176-SUM($CH$177:$CH205), $AQ$177:$AT$377, 4 )), "" )</f>
        <v/>
      </c>
      <c r="R205" t="str">
        <f t="shared" si="573"/>
        <v/>
      </c>
      <c r="T205" s="236"/>
      <c r="Y205"/>
      <c r="Z205"/>
      <c r="AA205"/>
      <c r="AQ205">
        <f t="shared" si="589"/>
        <v>29</v>
      </c>
      <c r="AR205" t="str">
        <f t="shared" si="575"/>
        <v>Drives</v>
      </c>
      <c r="AS205">
        <f t="shared" si="576"/>
        <v>1</v>
      </c>
      <c r="AT205" t="str">
        <f t="shared" si="577"/>
        <v>Fusion</v>
      </c>
      <c r="AU205" t="str">
        <f t="shared" si="555"/>
        <v/>
      </c>
      <c r="AV205" t="str">
        <f t="shared" si="556"/>
        <v/>
      </c>
      <c r="AW205" t="str">
        <f t="shared" si="557"/>
        <v/>
      </c>
      <c r="AX205" t="str">
        <f t="shared" si="558"/>
        <v/>
      </c>
      <c r="AY205" t="str">
        <f t="shared" si="559"/>
        <v/>
      </c>
      <c r="AZ205" t="str">
        <f t="shared" si="560"/>
        <v/>
      </c>
      <c r="BA205" t="str">
        <f t="shared" si="561"/>
        <v/>
      </c>
      <c r="BB205" t="str">
        <f t="shared" si="562"/>
        <v/>
      </c>
      <c r="BC205" t="str">
        <f t="shared" si="563"/>
        <v/>
      </c>
      <c r="BD205" t="str">
        <f t="shared" si="564"/>
        <v/>
      </c>
      <c r="BE205" t="str">
        <f t="shared" si="565"/>
        <v/>
      </c>
      <c r="BF205" t="str">
        <f t="shared" si="566"/>
        <v/>
      </c>
      <c r="BG205" t="str">
        <f t="shared" si="578"/>
        <v/>
      </c>
      <c r="BH205" t="str">
        <f t="shared" si="567"/>
        <v>Fusion</v>
      </c>
      <c r="BL205">
        <f t="shared" si="590"/>
        <v>0</v>
      </c>
      <c r="BN205">
        <f t="shared" si="579"/>
        <v>0</v>
      </c>
      <c r="BP205">
        <f t="shared" si="580"/>
        <v>0</v>
      </c>
      <c r="BR205">
        <f t="shared" si="591"/>
        <v>29</v>
      </c>
      <c r="BS205" s="44" t="str">
        <f xml:space="preserve"> CONCATENATE( VLOOKUP( $BR205+9, Tables!$B$3:$C$36, 2 ) &amp; IF( BR205&gt;=25, VLOOKUP( $BR205+9-24, Tables!$B$3:$C$36, 2 ), "" ) )</f>
        <v>ZE</v>
      </c>
      <c r="BT205" t="str">
        <f t="shared" si="568"/>
        <v/>
      </c>
      <c r="BV205" t="str">
        <f t="shared" si="581"/>
        <v/>
      </c>
      <c r="BW205" s="44" t="str">
        <f t="shared" si="582"/>
        <v/>
      </c>
      <c r="BX205" t="str">
        <f t="shared" si="583"/>
        <v/>
      </c>
      <c r="BZ205" t="str">
        <f t="shared" si="584"/>
        <v/>
      </c>
      <c r="CA205" t="str">
        <f t="shared" si="584"/>
        <v/>
      </c>
      <c r="CB205" t="str">
        <f t="shared" si="584"/>
        <v/>
      </c>
      <c r="CC205" t="str">
        <f t="shared" si="584"/>
        <v/>
      </c>
      <c r="CD205" t="str">
        <f t="shared" si="584"/>
        <v/>
      </c>
      <c r="CG205" t="str">
        <f t="shared" si="585"/>
        <v/>
      </c>
      <c r="CH205">
        <f t="shared" si="586"/>
        <v>0</v>
      </c>
      <c r="CJ205">
        <f t="shared" si="592"/>
        <v>29</v>
      </c>
      <c r="CK205" t="str">
        <f t="shared" si="570"/>
        <v/>
      </c>
      <c r="DL205"/>
      <c r="ED205" s="44"/>
    </row>
    <row r="206" spans="1:134">
      <c r="A206" t="str">
        <f t="shared" ref="A206:A207" si="601" xml:space="preserve"> IF( A205&lt;&gt;"", IF( A205+1 &gt; (HitSpan+1), "", A205+1 ), "" )</f>
        <v/>
      </c>
      <c r="B206" s="239" t="str">
        <f t="shared" ref="B206" si="602" xml:space="preserve"> IF( A206&lt;&gt;"", IF( AND( A206&lt;=(Compartments/2), A206&gt;-(Compartments/2) ), 1, 0 ), "" )</f>
        <v/>
      </c>
      <c r="C206" s="44" t="str">
        <f t="shared" ref="C206:C207" si="603" xml:space="preserve"> IF( B206&lt;&gt;"", IF( B206&gt;0, C205+1, 0 ), "" )</f>
        <v/>
      </c>
      <c r="D206" t="str">
        <f xml:space="preserve"> IF( AND($C206&lt;&gt;"", $C206&gt;0), IF( $CH206&gt;=D$176, VLOOKUP($C206+(D$176-1)*Compartments,$CJ$177:$CK$251,2), VLOOKUP( ($C206-1)*6+D$176-SUM($CH$177:$CH206), $AQ$177:$AT$377, 4 )), "" )</f>
        <v/>
      </c>
      <c r="F206" t="str">
        <f xml:space="preserve"> IF( AND($C206&lt;&gt;"", $C206&gt;0), IF( $CH206&gt;=F$176, VLOOKUP($C206+(F$176-1)*Compartments,$CJ$177:$CK$251,2), VLOOKUP( ($C206-1)*6+F$176-SUM($CH$177:$CH206), $AQ$177:$AT$377, 4 )), "" )</f>
        <v/>
      </c>
      <c r="I206" t="str">
        <f xml:space="preserve"> IF( AND($C206&lt;&gt;"", $C206&gt;0), IF( $CH206&gt;=I$176, VLOOKUP($C206+(I$176-1)*Compartments,$CJ$177:$CK$251,2), VLOOKUP( ($C206-1)*6+I$176-SUM($CH$177:$CH206), $AQ$177:$AT$377, 4 )), "" )</f>
        <v/>
      </c>
      <c r="K206" t="str">
        <f xml:space="preserve"> IF( AND($C206&lt;&gt;"", $C206&gt;0), IF( $CH206&gt;=K$176, VLOOKUP($C206+(K$176-1)*Compartments,$CJ$177:$CK$251,2), VLOOKUP( ($C206-1)*6+K$176-SUM($CH$177:$CH206), $AQ$177:$AT$377, 4 )), "" )</f>
        <v/>
      </c>
      <c r="M206" t="str">
        <f xml:space="preserve"> IF( AND($C206&lt;&gt;"", $C206&gt;0), IF( $CH206&gt;=M$176, VLOOKUP($C206+(M$176-1)*Compartments,$CJ$177:$CK$251,2), VLOOKUP( ($C206-1)*6+M$176-SUM($CH$177:$CH206), $AQ$177:$AT$377, 4 )), "" )</f>
        <v/>
      </c>
      <c r="P206" t="str">
        <f xml:space="preserve"> IF( AND($C206&lt;&gt;"", $C206&gt;0), IF( $CH206&gt;=P$176, VLOOKUP($C206+(P$176-1)*Compartments,$CJ$177:$CK$251,2), VLOOKUP( ($C206-1)*6+P$176-SUM($CH$177:$CH206), $AQ$177:$AT$377, 4 )), "" )</f>
        <v/>
      </c>
      <c r="R206" t="str">
        <f t="shared" si="573"/>
        <v/>
      </c>
      <c r="T206" s="236"/>
      <c r="Y206"/>
      <c r="Z206"/>
      <c r="AA206"/>
      <c r="AQ206">
        <f t="shared" si="589"/>
        <v>30</v>
      </c>
      <c r="AR206" t="str">
        <f t="shared" si="575"/>
        <v>Drives</v>
      </c>
      <c r="AS206">
        <f t="shared" si="576"/>
        <v>2</v>
      </c>
      <c r="AT206" t="str">
        <f t="shared" si="577"/>
        <v>Manœuvre</v>
      </c>
      <c r="AU206" t="str">
        <f t="shared" si="555"/>
        <v/>
      </c>
      <c r="AV206" t="str">
        <f t="shared" si="556"/>
        <v/>
      </c>
      <c r="AW206" t="str">
        <f t="shared" si="557"/>
        <v/>
      </c>
      <c r="AX206" t="str">
        <f t="shared" si="558"/>
        <v/>
      </c>
      <c r="AY206" t="str">
        <f t="shared" si="559"/>
        <v/>
      </c>
      <c r="AZ206" t="str">
        <f t="shared" si="560"/>
        <v/>
      </c>
      <c r="BA206" t="str">
        <f t="shared" si="561"/>
        <v/>
      </c>
      <c r="BB206" t="str">
        <f t="shared" si="562"/>
        <v/>
      </c>
      <c r="BC206" t="str">
        <f t="shared" si="563"/>
        <v/>
      </c>
      <c r="BD206" t="str">
        <f t="shared" si="564"/>
        <v/>
      </c>
      <c r="BE206" t="str">
        <f t="shared" si="565"/>
        <v/>
      </c>
      <c r="BF206" t="str">
        <f t="shared" si="566"/>
        <v/>
      </c>
      <c r="BG206" t="str">
        <f t="shared" si="578"/>
        <v/>
      </c>
      <c r="BH206" t="str">
        <f t="shared" si="567"/>
        <v>Manœuvre</v>
      </c>
      <c r="BL206">
        <f t="shared" si="590"/>
        <v>0</v>
      </c>
      <c r="BN206">
        <f t="shared" si="579"/>
        <v>0</v>
      </c>
      <c r="BP206">
        <f t="shared" si="580"/>
        <v>0</v>
      </c>
      <c r="BR206">
        <f t="shared" si="591"/>
        <v>30</v>
      </c>
      <c r="BS206" s="44" t="str">
        <f xml:space="preserve"> CONCATENATE( VLOOKUP( $BR206+9, Tables!$B$3:$C$36, 2 ) &amp; IF( BR206&gt;=25, VLOOKUP( $BR206+9-24, Tables!$B$3:$C$36, 2 ), "" ) )</f>
        <v>ZF</v>
      </c>
      <c r="BT206" t="str">
        <f t="shared" si="568"/>
        <v/>
      </c>
      <c r="BV206" t="str">
        <f t="shared" si="581"/>
        <v/>
      </c>
      <c r="BW206" s="44" t="str">
        <f t="shared" si="582"/>
        <v/>
      </c>
      <c r="BX206" t="str">
        <f t="shared" si="583"/>
        <v/>
      </c>
      <c r="BZ206" t="str">
        <f t="shared" si="584"/>
        <v/>
      </c>
      <c r="CA206" t="str">
        <f t="shared" si="584"/>
        <v/>
      </c>
      <c r="CB206" t="str">
        <f t="shared" si="584"/>
        <v/>
      </c>
      <c r="CC206" t="str">
        <f t="shared" si="584"/>
        <v/>
      </c>
      <c r="CD206" t="str">
        <f t="shared" si="584"/>
        <v/>
      </c>
      <c r="CG206" t="str">
        <f t="shared" si="585"/>
        <v/>
      </c>
      <c r="CH206">
        <f t="shared" si="586"/>
        <v>0</v>
      </c>
      <c r="CJ206">
        <f t="shared" si="592"/>
        <v>30</v>
      </c>
      <c r="CK206" t="str">
        <f t="shared" si="570"/>
        <v/>
      </c>
      <c r="DL206"/>
      <c r="ED206" s="44"/>
    </row>
    <row r="207" spans="1:134">
      <c r="A207" t="str">
        <f t="shared" si="601"/>
        <v/>
      </c>
      <c r="B207" s="239" t="str">
        <f t="shared" ref="B207" si="604" xml:space="preserve"> IF( A207&lt;&gt;"", IF( AND( A207&lt;=(Compartments/2), A207&gt;-(Compartments/2) ), 1, 0 ), "" )</f>
        <v/>
      </c>
      <c r="C207" s="44" t="str">
        <f t="shared" si="603"/>
        <v/>
      </c>
      <c r="D207" t="str">
        <f xml:space="preserve"> IF( AND($C207&lt;&gt;"", $C207&gt;0), IF( $CH207&gt;=D$176, VLOOKUP($C207+(D$176-1)*Compartments,$CJ$177:$CK$251,2), VLOOKUP( ($C207-1)*6+D$176-SUM($CH$177:$CH207), $AQ$177:$AT$377, 4 )), "" )</f>
        <v/>
      </c>
      <c r="F207" t="str">
        <f xml:space="preserve"> IF( AND($C207&lt;&gt;"", $C207&gt;0), IF( $CH207&gt;=F$176, VLOOKUP($C207+(F$176-1)*Compartments,$CJ$177:$CK$251,2), VLOOKUP( ($C207-1)*6+F$176-SUM($CH$177:$CH207), $AQ$177:$AT$377, 4 )), "" )</f>
        <v/>
      </c>
      <c r="I207" t="str">
        <f xml:space="preserve"> IF( AND($C207&lt;&gt;"", $C207&gt;0), IF( $CH207&gt;=I$176, VLOOKUP($C207+(I$176-1)*Compartments,$CJ$177:$CK$251,2), VLOOKUP( ($C207-1)*6+I$176-SUM($CH$177:$CH207), $AQ$177:$AT$377, 4 )), "" )</f>
        <v/>
      </c>
      <c r="K207" t="str">
        <f xml:space="preserve"> IF( AND($C207&lt;&gt;"", $C207&gt;0), IF( $CH207&gt;=K$176, VLOOKUP($C207+(K$176-1)*Compartments,$CJ$177:$CK$251,2), VLOOKUP( ($C207-1)*6+K$176-SUM($CH$177:$CH207), $AQ$177:$AT$377, 4 )), "" )</f>
        <v/>
      </c>
      <c r="M207" t="str">
        <f xml:space="preserve"> IF( AND($C207&lt;&gt;"", $C207&gt;0), IF( $CH207&gt;=M$176, VLOOKUP($C207+(M$176-1)*Compartments,$CJ$177:$CK$251,2), VLOOKUP( ($C207-1)*6+M$176-SUM($CH$177:$CH207), $AQ$177:$AT$377, 4 )), "" )</f>
        <v/>
      </c>
      <c r="P207" t="str">
        <f xml:space="preserve"> IF( AND($C207&lt;&gt;"", $C207&gt;0), IF( $CH207&gt;=P$176, VLOOKUP($C207+(P$176-1)*Compartments,$CJ$177:$CK$251,2), VLOOKUP( ($C207-1)*6+P$176-SUM($CH$177:$CH207), $AQ$177:$AT$377, 4 )), "" )</f>
        <v/>
      </c>
      <c r="R207" t="str">
        <f t="shared" si="573"/>
        <v/>
      </c>
      <c r="T207" s="236"/>
      <c r="Y207"/>
      <c r="Z207"/>
      <c r="AA207"/>
      <c r="AQ207" t="str">
        <f t="shared" si="589"/>
        <v/>
      </c>
      <c r="AR207" t="str">
        <f t="shared" si="575"/>
        <v/>
      </c>
      <c r="AS207" t="str">
        <f t="shared" si="576"/>
        <v/>
      </c>
      <c r="AT207" t="str">
        <f t="shared" si="577"/>
        <v/>
      </c>
      <c r="AU207" t="str">
        <f t="shared" si="555"/>
        <v/>
      </c>
      <c r="AV207" t="str">
        <f t="shared" si="556"/>
        <v/>
      </c>
      <c r="AW207" t="str">
        <f t="shared" si="557"/>
        <v/>
      </c>
      <c r="AX207" t="str">
        <f t="shared" si="558"/>
        <v/>
      </c>
      <c r="AY207" t="str">
        <f t="shared" si="559"/>
        <v/>
      </c>
      <c r="AZ207" t="str">
        <f t="shared" si="560"/>
        <v/>
      </c>
      <c r="BA207" t="str">
        <f t="shared" si="561"/>
        <v/>
      </c>
      <c r="BB207" t="str">
        <f t="shared" si="562"/>
        <v/>
      </c>
      <c r="BC207" t="str">
        <f t="shared" si="563"/>
        <v/>
      </c>
      <c r="BD207" t="str">
        <f t="shared" si="564"/>
        <v/>
      </c>
      <c r="BE207" t="str">
        <f t="shared" si="565"/>
        <v/>
      </c>
      <c r="BF207" t="str">
        <f t="shared" si="566"/>
        <v/>
      </c>
      <c r="BG207" t="str">
        <f t="shared" si="578"/>
        <v/>
      </c>
      <c r="BH207" t="str">
        <f t="shared" si="567"/>
        <v/>
      </c>
      <c r="BR207">
        <f t="shared" si="591"/>
        <v>31</v>
      </c>
      <c r="BS207" s="44" t="str">
        <f xml:space="preserve"> CONCATENATE( VLOOKUP( $BR207+9, Tables!$B$3:$C$36, 2 ) &amp; IF( BR207&gt;=25, VLOOKUP( $BR207+9-24, Tables!$B$3:$C$36, 2 ), "" ) )</f>
        <v>ZG</v>
      </c>
      <c r="BT207" t="str">
        <f t="shared" si="568"/>
        <v/>
      </c>
      <c r="BV207" t="str">
        <f t="shared" si="581"/>
        <v/>
      </c>
      <c r="BW207" s="44" t="str">
        <f t="shared" si="582"/>
        <v/>
      </c>
      <c r="BX207" t="str">
        <f t="shared" si="583"/>
        <v/>
      </c>
      <c r="BZ207" t="str">
        <f t="shared" si="584"/>
        <v/>
      </c>
      <c r="CA207" t="str">
        <f t="shared" si="584"/>
        <v/>
      </c>
      <c r="CB207" t="str">
        <f t="shared" si="584"/>
        <v/>
      </c>
      <c r="CC207" t="str">
        <f t="shared" si="584"/>
        <v/>
      </c>
      <c r="CD207" t="str">
        <f t="shared" si="584"/>
        <v/>
      </c>
      <c r="CG207" t="str">
        <f t="shared" si="585"/>
        <v/>
      </c>
      <c r="CH207">
        <f t="shared" si="586"/>
        <v>0</v>
      </c>
      <c r="CJ207">
        <f t="shared" si="592"/>
        <v>31</v>
      </c>
      <c r="CK207" t="str">
        <f t="shared" si="570"/>
        <v/>
      </c>
      <c r="DL207"/>
      <c r="EC207" s="44"/>
    </row>
    <row r="208" spans="1:134">
      <c r="A208" t="str">
        <f t="shared" ref="A208:A209" si="605" xml:space="preserve"> IF( A207&lt;&gt;"", IF( A207+1 &gt; (HitSpan+1), "", A207+1 ), "" )</f>
        <v/>
      </c>
      <c r="B208" s="239" t="str">
        <f t="shared" ref="B208" si="606" xml:space="preserve"> IF( A208&lt;&gt;"", IF( AND( A208&lt;=(Compartments/2), A208&gt;-(Compartments/2) ), 1, 0 ), "" )</f>
        <v/>
      </c>
      <c r="C208" s="44" t="str">
        <f t="shared" ref="C208:C209" si="607" xml:space="preserve"> IF( B208&lt;&gt;"", IF( B208&gt;0, C207+1, 0 ), "" )</f>
        <v/>
      </c>
      <c r="D208" t="str">
        <f xml:space="preserve"> IF( AND($C208&lt;&gt;"", $C208&gt;0), IF( $CH208&gt;=D$176, VLOOKUP($C208+(D$176-1)*Compartments,$CJ$177:$CK$251,2), VLOOKUP( ($C208-1)*6+D$176-SUM($CH$177:$CH208), $AQ$177:$AT$377, 4 )), "" )</f>
        <v/>
      </c>
      <c r="F208" t="str">
        <f xml:space="preserve"> IF( AND($C208&lt;&gt;"", $C208&gt;0), IF( $CH208&gt;=F$176, VLOOKUP($C208+(F$176-1)*Compartments,$CJ$177:$CK$251,2), VLOOKUP( ($C208-1)*6+F$176-SUM($CH$177:$CH208), $AQ$177:$AT$377, 4 )), "" )</f>
        <v/>
      </c>
      <c r="I208" t="str">
        <f xml:space="preserve"> IF( AND($C208&lt;&gt;"", $C208&gt;0), IF( $CH208&gt;=I$176, VLOOKUP($C208+(I$176-1)*Compartments,$CJ$177:$CK$251,2), VLOOKUP( ($C208-1)*6+I$176-SUM($CH$177:$CH208), $AQ$177:$AT$377, 4 )), "" )</f>
        <v/>
      </c>
      <c r="K208" t="str">
        <f xml:space="preserve"> IF( AND($C208&lt;&gt;"", $C208&gt;0), IF( $CH208&gt;=K$176, VLOOKUP($C208+(K$176-1)*Compartments,$CJ$177:$CK$251,2), VLOOKUP( ($C208-1)*6+K$176-SUM($CH$177:$CH208), $AQ$177:$AT$377, 4 )), "" )</f>
        <v/>
      </c>
      <c r="M208" t="str">
        <f xml:space="preserve"> IF( AND($C208&lt;&gt;"", $C208&gt;0), IF( $CH208&gt;=M$176, VLOOKUP($C208+(M$176-1)*Compartments,$CJ$177:$CK$251,2), VLOOKUP( ($C208-1)*6+M$176-SUM($CH$177:$CH208), $AQ$177:$AT$377, 4 )), "" )</f>
        <v/>
      </c>
      <c r="P208" t="str">
        <f xml:space="preserve"> IF( AND($C208&lt;&gt;"", $C208&gt;0), IF( $CH208&gt;=P$176, VLOOKUP($C208+(P$176-1)*Compartments,$CJ$177:$CK$251,2), VLOOKUP( ($C208-1)*6+P$176-SUM($CH$177:$CH208), $AQ$177:$AT$377, 4 )), "" )</f>
        <v/>
      </c>
      <c r="R208" t="str">
        <f t="shared" si="573"/>
        <v/>
      </c>
      <c r="T208" s="236"/>
      <c r="Y208"/>
      <c r="Z208"/>
      <c r="AA208"/>
      <c r="AQ208" t="str">
        <f t="shared" si="589"/>
        <v/>
      </c>
      <c r="AR208" t="str">
        <f t="shared" si="575"/>
        <v/>
      </c>
      <c r="AS208" t="str">
        <f t="shared" si="576"/>
        <v/>
      </c>
      <c r="AT208" t="str">
        <f t="shared" si="577"/>
        <v/>
      </c>
      <c r="AU208" t="str">
        <f t="shared" si="555"/>
        <v/>
      </c>
      <c r="AV208" t="str">
        <f t="shared" si="556"/>
        <v/>
      </c>
      <c r="AW208" t="str">
        <f t="shared" si="557"/>
        <v/>
      </c>
      <c r="AX208" t="str">
        <f t="shared" si="558"/>
        <v/>
      </c>
      <c r="AY208" t="str">
        <f t="shared" si="559"/>
        <v/>
      </c>
      <c r="AZ208" t="str">
        <f t="shared" si="560"/>
        <v/>
      </c>
      <c r="BA208" t="str">
        <f t="shared" si="561"/>
        <v/>
      </c>
      <c r="BB208" t="str">
        <f t="shared" si="562"/>
        <v/>
      </c>
      <c r="BC208" t="str">
        <f t="shared" si="563"/>
        <v/>
      </c>
      <c r="BD208" t="str">
        <f t="shared" si="564"/>
        <v/>
      </c>
      <c r="BE208" t="str">
        <f t="shared" si="565"/>
        <v/>
      </c>
      <c r="BF208" t="str">
        <f t="shared" si="566"/>
        <v/>
      </c>
      <c r="BG208" t="str">
        <f t="shared" si="578"/>
        <v/>
      </c>
      <c r="BH208" t="str">
        <f t="shared" si="567"/>
        <v/>
      </c>
      <c r="BR208">
        <f t="shared" si="591"/>
        <v>32</v>
      </c>
      <c r="BS208" s="44" t="str">
        <f xml:space="preserve"> CONCATENATE( VLOOKUP( $BR208+9, Tables!$B$3:$C$36, 2 ) &amp; IF( BR208&gt;=25, VLOOKUP( $BR208+9-24, Tables!$B$3:$C$36, 2 ), "" ) )</f>
        <v>ZH</v>
      </c>
      <c r="BT208" t="str">
        <f t="shared" si="568"/>
        <v/>
      </c>
      <c r="BV208" t="str">
        <f t="shared" si="581"/>
        <v/>
      </c>
      <c r="BW208" s="44" t="str">
        <f t="shared" si="582"/>
        <v/>
      </c>
      <c r="BX208" t="str">
        <f t="shared" si="583"/>
        <v/>
      </c>
      <c r="BZ208" t="str">
        <f t="shared" si="584"/>
        <v/>
      </c>
      <c r="CA208" t="str">
        <f t="shared" si="584"/>
        <v/>
      </c>
      <c r="CB208" t="str">
        <f t="shared" si="584"/>
        <v/>
      </c>
      <c r="CC208" t="str">
        <f t="shared" si="584"/>
        <v/>
      </c>
      <c r="CD208" t="str">
        <f t="shared" si="584"/>
        <v/>
      </c>
      <c r="CG208" t="str">
        <f t="shared" si="585"/>
        <v/>
      </c>
      <c r="CH208">
        <f t="shared" si="586"/>
        <v>0</v>
      </c>
      <c r="CJ208">
        <f t="shared" si="592"/>
        <v>32</v>
      </c>
      <c r="CK208" t="str">
        <f t="shared" si="570"/>
        <v/>
      </c>
      <c r="DL208"/>
      <c r="EC208" s="44"/>
    </row>
    <row r="209" spans="1:133">
      <c r="A209" t="str">
        <f t="shared" si="605"/>
        <v/>
      </c>
      <c r="B209" s="239" t="str">
        <f t="shared" ref="B209" si="608" xml:space="preserve"> IF( A209&lt;&gt;"", IF( AND( A209&lt;=(Compartments/2), A209&gt;-(Compartments/2) ), 1, 0 ), "" )</f>
        <v/>
      </c>
      <c r="C209" s="44" t="str">
        <f t="shared" si="607"/>
        <v/>
      </c>
      <c r="D209" t="str">
        <f xml:space="preserve"> IF( AND($C209&lt;&gt;"", $C209&gt;0), IF( $CH209&gt;=D$176, VLOOKUP($C209+(D$176-1)*Compartments,$CJ$177:$CK$251,2), VLOOKUP( ($C209-1)*6+D$176-SUM($CH$177:$CH209), $AQ$177:$AT$377, 4 )), "" )</f>
        <v/>
      </c>
      <c r="F209" t="str">
        <f xml:space="preserve"> IF( AND($C209&lt;&gt;"", $C209&gt;0), IF( $CH209&gt;=F$176, VLOOKUP($C209+(F$176-1)*Compartments,$CJ$177:$CK$251,2), VLOOKUP( ($C209-1)*6+F$176-SUM($CH$177:$CH209), $AQ$177:$AT$377, 4 )), "" )</f>
        <v/>
      </c>
      <c r="I209" t="str">
        <f xml:space="preserve"> IF( AND($C209&lt;&gt;"", $C209&gt;0), IF( $CH209&gt;=I$176, VLOOKUP($C209+(I$176-1)*Compartments,$CJ$177:$CK$251,2), VLOOKUP( ($C209-1)*6+I$176-SUM($CH$177:$CH209), $AQ$177:$AT$377, 4 )), "" )</f>
        <v/>
      </c>
      <c r="K209" t="str">
        <f xml:space="preserve"> IF( AND($C209&lt;&gt;"", $C209&gt;0), IF( $CH209&gt;=K$176, VLOOKUP($C209+(K$176-1)*Compartments,$CJ$177:$CK$251,2), VLOOKUP( ($C209-1)*6+K$176-SUM($CH$177:$CH209), $AQ$177:$AT$377, 4 )), "" )</f>
        <v/>
      </c>
      <c r="M209" t="str">
        <f xml:space="preserve"> IF( AND($C209&lt;&gt;"", $C209&gt;0), IF( $CH209&gt;=M$176, VLOOKUP($C209+(M$176-1)*Compartments,$CJ$177:$CK$251,2), VLOOKUP( ($C209-1)*6+M$176-SUM($CH$177:$CH209), $AQ$177:$AT$377, 4 )), "" )</f>
        <v/>
      </c>
      <c r="P209" t="str">
        <f xml:space="preserve"> IF( AND($C209&lt;&gt;"", $C209&gt;0), IF( $CH209&gt;=P$176, VLOOKUP($C209+(P$176-1)*Compartments,$CJ$177:$CK$251,2), VLOOKUP( ($C209-1)*6+P$176-SUM($CH$177:$CH209), $AQ$177:$AT$377, 4 )), "" )</f>
        <v/>
      </c>
      <c r="R209" t="str">
        <f t="shared" si="573"/>
        <v/>
      </c>
      <c r="T209" s="236"/>
      <c r="Y209"/>
      <c r="Z209"/>
      <c r="AA209"/>
      <c r="AQ209" t="str">
        <f t="shared" si="589"/>
        <v/>
      </c>
      <c r="AR209" t="str">
        <f t="shared" si="575"/>
        <v/>
      </c>
      <c r="AS209" t="str">
        <f t="shared" si="576"/>
        <v/>
      </c>
      <c r="AT209" t="str">
        <f t="shared" si="577"/>
        <v/>
      </c>
      <c r="AU209" t="str">
        <f t="shared" si="555"/>
        <v/>
      </c>
      <c r="AV209" t="str">
        <f t="shared" si="556"/>
        <v/>
      </c>
      <c r="AW209" t="str">
        <f t="shared" si="557"/>
        <v/>
      </c>
      <c r="AX209" t="str">
        <f t="shared" si="558"/>
        <v/>
      </c>
      <c r="AY209" t="str">
        <f t="shared" si="559"/>
        <v/>
      </c>
      <c r="AZ209" t="str">
        <f t="shared" si="560"/>
        <v/>
      </c>
      <c r="BA209" t="str">
        <f t="shared" si="561"/>
        <v/>
      </c>
      <c r="BB209" t="str">
        <f t="shared" si="562"/>
        <v/>
      </c>
      <c r="BC209" t="str">
        <f t="shared" si="563"/>
        <v/>
      </c>
      <c r="BD209" t="str">
        <f t="shared" si="564"/>
        <v/>
      </c>
      <c r="BE209" t="str">
        <f t="shared" si="565"/>
        <v/>
      </c>
      <c r="BF209" t="str">
        <f t="shared" si="566"/>
        <v/>
      </c>
      <c r="BG209" t="str">
        <f t="shared" si="578"/>
        <v/>
      </c>
      <c r="BH209" t="str">
        <f t="shared" si="567"/>
        <v/>
      </c>
      <c r="BR209">
        <f t="shared" si="591"/>
        <v>33</v>
      </c>
      <c r="BS209" s="44" t="str">
        <f xml:space="preserve"> CONCATENATE( VLOOKUP( $BR209+9, Tables!$B$3:$C$36, 2 ) &amp; IF( BR209&gt;=25, VLOOKUP( $BR209+9-24, Tables!$B$3:$C$36, 2 ), "" ) )</f>
        <v>ZJ</v>
      </c>
      <c r="BT209" t="str">
        <f t="shared" si="568"/>
        <v/>
      </c>
      <c r="BV209" t="str">
        <f t="shared" si="581"/>
        <v/>
      </c>
      <c r="BW209" s="44" t="str">
        <f t="shared" si="582"/>
        <v/>
      </c>
      <c r="BX209" t="str">
        <f t="shared" si="583"/>
        <v/>
      </c>
      <c r="BZ209" t="str">
        <f t="shared" si="584"/>
        <v/>
      </c>
      <c r="CA209" t="str">
        <f t="shared" si="584"/>
        <v/>
      </c>
      <c r="CB209" t="str">
        <f t="shared" si="584"/>
        <v/>
      </c>
      <c r="CC209" t="str">
        <f t="shared" si="584"/>
        <v/>
      </c>
      <c r="CD209" t="str">
        <f t="shared" si="584"/>
        <v/>
      </c>
      <c r="CG209" t="str">
        <f t="shared" si="585"/>
        <v/>
      </c>
      <c r="CH209">
        <f t="shared" si="586"/>
        <v>0</v>
      </c>
      <c r="CJ209">
        <f t="shared" si="592"/>
        <v>33</v>
      </c>
      <c r="CK209" t="str">
        <f t="shared" ref="CK209:CK240" si="609" xml:space="preserve"> IF( CJ209&lt;=$BP$174, VLOOKUP( CJ209, $FD$4:$FF$125, 3 ), "" )</f>
        <v/>
      </c>
      <c r="DL209"/>
      <c r="EC209" s="44"/>
    </row>
    <row r="210" spans="1:133">
      <c r="A210" t="str">
        <f t="shared" ref="A210:A211" si="610" xml:space="preserve"> IF( A209&lt;&gt;"", IF( A209+1 &gt; (HitSpan+1), "", A209+1 ), "" )</f>
        <v/>
      </c>
      <c r="B210" s="239" t="str">
        <f t="shared" ref="B210" si="611" xml:space="preserve"> IF( A210&lt;&gt;"", IF( AND( A210&lt;=(Compartments/2), A210&gt;-(Compartments/2) ), 1, 0 ), "" )</f>
        <v/>
      </c>
      <c r="C210" s="44" t="str">
        <f t="shared" ref="C210:C211" si="612" xml:space="preserve"> IF( B210&lt;&gt;"", IF( B210&gt;0, C209+1, 0 ), "" )</f>
        <v/>
      </c>
      <c r="D210" t="str">
        <f xml:space="preserve"> IF( AND($C210&lt;&gt;"", $C210&gt;0), IF( $CH210&gt;=D$176, VLOOKUP($C210+(D$176-1)*Compartments,$CJ$177:$CK$251,2), VLOOKUP( ($C210-1)*6+D$176-SUM($CH$177:$CH210), $AQ$177:$AT$377, 4 )), "" )</f>
        <v/>
      </c>
      <c r="F210" t="str">
        <f xml:space="preserve"> IF( AND($C210&lt;&gt;"", $C210&gt;0), IF( $CH210&gt;=F$176, VLOOKUP($C210+(F$176-1)*Compartments,$CJ$177:$CK$251,2), VLOOKUP( ($C210-1)*6+F$176-SUM($CH$177:$CH210), $AQ$177:$AT$377, 4 )), "" )</f>
        <v/>
      </c>
      <c r="I210" t="str">
        <f xml:space="preserve"> IF( AND($C210&lt;&gt;"", $C210&gt;0), IF( $CH210&gt;=I$176, VLOOKUP($C210+(I$176-1)*Compartments,$CJ$177:$CK$251,2), VLOOKUP( ($C210-1)*6+I$176-SUM($CH$177:$CH210), $AQ$177:$AT$377, 4 )), "" )</f>
        <v/>
      </c>
      <c r="K210" t="str">
        <f xml:space="preserve"> IF( AND($C210&lt;&gt;"", $C210&gt;0), IF( $CH210&gt;=K$176, VLOOKUP($C210+(K$176-1)*Compartments,$CJ$177:$CK$251,2), VLOOKUP( ($C210-1)*6+K$176-SUM($CH$177:$CH210), $AQ$177:$AT$377, 4 )), "" )</f>
        <v/>
      </c>
      <c r="M210" t="str">
        <f xml:space="preserve"> IF( AND($C210&lt;&gt;"", $C210&gt;0), IF( $CH210&gt;=M$176, VLOOKUP($C210+(M$176-1)*Compartments,$CJ$177:$CK$251,2), VLOOKUP( ($C210-1)*6+M$176-SUM($CH$177:$CH210), $AQ$177:$AT$377, 4 )), "" )</f>
        <v/>
      </c>
      <c r="P210" t="str">
        <f xml:space="preserve"> IF( AND($C210&lt;&gt;"", $C210&gt;0), IF( $CH210&gt;=P$176, VLOOKUP($C210+(P$176-1)*Compartments,$CJ$177:$CK$251,2), VLOOKUP( ($C210-1)*6+P$176-SUM($CH$177:$CH210), $AQ$177:$AT$377, 4 )), "" )</f>
        <v/>
      </c>
      <c r="R210" t="str">
        <f t="shared" si="573"/>
        <v/>
      </c>
      <c r="T210" s="236"/>
      <c r="Y210"/>
      <c r="Z210"/>
      <c r="AA210"/>
      <c r="AQ210" t="str">
        <f t="shared" si="589"/>
        <v/>
      </c>
      <c r="AR210" t="str">
        <f t="shared" si="575"/>
        <v/>
      </c>
      <c r="AS210" t="str">
        <f t="shared" si="576"/>
        <v/>
      </c>
      <c r="AT210" t="str">
        <f t="shared" si="577"/>
        <v/>
      </c>
      <c r="AU210" t="str">
        <f t="shared" si="555"/>
        <v/>
      </c>
      <c r="AV210" t="str">
        <f t="shared" si="556"/>
        <v/>
      </c>
      <c r="AW210" t="str">
        <f t="shared" si="557"/>
        <v/>
      </c>
      <c r="AX210" t="str">
        <f t="shared" si="558"/>
        <v/>
      </c>
      <c r="AY210" t="str">
        <f t="shared" si="559"/>
        <v/>
      </c>
      <c r="AZ210" t="str">
        <f t="shared" si="560"/>
        <v/>
      </c>
      <c r="BA210" t="str">
        <f t="shared" si="561"/>
        <v/>
      </c>
      <c r="BB210" t="str">
        <f t="shared" si="562"/>
        <v/>
      </c>
      <c r="BC210" t="str">
        <f t="shared" si="563"/>
        <v/>
      </c>
      <c r="BD210" t="str">
        <f t="shared" si="564"/>
        <v/>
      </c>
      <c r="BE210" t="str">
        <f t="shared" si="565"/>
        <v/>
      </c>
      <c r="BF210" t="str">
        <f t="shared" si="566"/>
        <v/>
      </c>
      <c r="BG210" t="str">
        <f t="shared" si="578"/>
        <v/>
      </c>
      <c r="BH210" t="str">
        <f t="shared" si="567"/>
        <v/>
      </c>
      <c r="BR210">
        <f t="shared" si="591"/>
        <v>34</v>
      </c>
      <c r="BS210" s="44" t="str">
        <f xml:space="preserve"> CONCATENATE( VLOOKUP( $BR210+9, Tables!$B$3:$C$36, 2 ) &amp; IF( BR210&gt;=25, VLOOKUP( $BR210+9-24, Tables!$B$3:$C$36, 2 ), "" ) )</f>
        <v>ZK</v>
      </c>
      <c r="BT210" t="str">
        <f t="shared" si="568"/>
        <v/>
      </c>
      <c r="BV210" t="str">
        <f t="shared" si="581"/>
        <v/>
      </c>
      <c r="BW210" s="44" t="str">
        <f t="shared" si="582"/>
        <v/>
      </c>
      <c r="BX210" t="str">
        <f t="shared" si="583"/>
        <v/>
      </c>
      <c r="BZ210" t="str">
        <f t="shared" si="584"/>
        <v/>
      </c>
      <c r="CA210" t="str">
        <f t="shared" si="584"/>
        <v/>
      </c>
      <c r="CB210" t="str">
        <f t="shared" si="584"/>
        <v/>
      </c>
      <c r="CC210" t="str">
        <f t="shared" si="584"/>
        <v/>
      </c>
      <c r="CD210" t="str">
        <f t="shared" si="584"/>
        <v/>
      </c>
      <c r="CG210" t="str">
        <f t="shared" si="585"/>
        <v/>
      </c>
      <c r="CH210">
        <f t="shared" si="586"/>
        <v>0</v>
      </c>
      <c r="CJ210">
        <f t="shared" si="592"/>
        <v>34</v>
      </c>
      <c r="CK210" t="str">
        <f t="shared" si="609"/>
        <v/>
      </c>
      <c r="DL210"/>
      <c r="EC210" s="44"/>
    </row>
    <row r="211" spans="1:133">
      <c r="A211" t="str">
        <f t="shared" si="610"/>
        <v/>
      </c>
      <c r="B211" s="239" t="str">
        <f t="shared" ref="B211" si="613" xml:space="preserve"> IF( A211&lt;&gt;"", IF( AND( A211&lt;=(Compartments/2), A211&gt;-(Compartments/2) ), 1, 0 ), "" )</f>
        <v/>
      </c>
      <c r="C211" s="44" t="str">
        <f t="shared" si="612"/>
        <v/>
      </c>
      <c r="D211" t="str">
        <f xml:space="preserve"> IF( AND($C211&lt;&gt;"", $C211&gt;0), IF( $CH211&gt;=D$176, VLOOKUP($C211+(D$176-1)*Compartments,$CJ$177:$CK$251,2), VLOOKUP( ($C211-1)*6+D$176-SUM($CH$177:$CH211), $AQ$177:$AT$377, 4 )), "" )</f>
        <v/>
      </c>
      <c r="F211" t="str">
        <f xml:space="preserve"> IF( AND($C211&lt;&gt;"", $C211&gt;0), IF( $CH211&gt;=F$176, VLOOKUP($C211+(F$176-1)*Compartments,$CJ$177:$CK$251,2), VLOOKUP( ($C211-1)*6+F$176-SUM($CH$177:$CH211), $AQ$177:$AT$377, 4 )), "" )</f>
        <v/>
      </c>
      <c r="I211" t="str">
        <f xml:space="preserve"> IF( AND($C211&lt;&gt;"", $C211&gt;0), IF( $CH211&gt;=I$176, VLOOKUP($C211+(I$176-1)*Compartments,$CJ$177:$CK$251,2), VLOOKUP( ($C211-1)*6+I$176-SUM($CH$177:$CH211), $AQ$177:$AT$377, 4 )), "" )</f>
        <v/>
      </c>
      <c r="K211" t="str">
        <f xml:space="preserve"> IF( AND($C211&lt;&gt;"", $C211&gt;0), IF( $CH211&gt;=K$176, VLOOKUP($C211+(K$176-1)*Compartments,$CJ$177:$CK$251,2), VLOOKUP( ($C211-1)*6+K$176-SUM($CH$177:$CH211), $AQ$177:$AT$377, 4 )), "" )</f>
        <v/>
      </c>
      <c r="M211" t="str">
        <f xml:space="preserve"> IF( AND($C211&lt;&gt;"", $C211&gt;0), IF( $CH211&gt;=M$176, VLOOKUP($C211+(M$176-1)*Compartments,$CJ$177:$CK$251,2), VLOOKUP( ($C211-1)*6+M$176-SUM($CH$177:$CH211), $AQ$177:$AT$377, 4 )), "" )</f>
        <v/>
      </c>
      <c r="P211" t="str">
        <f xml:space="preserve"> IF( AND($C211&lt;&gt;"", $C211&gt;0), IF( $CH211&gt;=P$176, VLOOKUP($C211+(P$176-1)*Compartments,$CJ$177:$CK$251,2), VLOOKUP( ($C211-1)*6+P$176-SUM($CH$177:$CH211), $AQ$177:$AT$377, 4 )), "" )</f>
        <v/>
      </c>
      <c r="R211" t="str">
        <f t="shared" si="573"/>
        <v/>
      </c>
      <c r="T211" s="236"/>
      <c r="Y211"/>
      <c r="Z211"/>
      <c r="AA211"/>
      <c r="AQ211" t="str">
        <f t="shared" si="589"/>
        <v/>
      </c>
      <c r="AR211" t="str">
        <f t="shared" si="575"/>
        <v/>
      </c>
      <c r="AS211" t="str">
        <f t="shared" si="576"/>
        <v/>
      </c>
      <c r="AT211" t="str">
        <f t="shared" si="577"/>
        <v/>
      </c>
      <c r="AU211" t="str">
        <f t="shared" si="555"/>
        <v/>
      </c>
      <c r="AV211" t="str">
        <f t="shared" si="556"/>
        <v/>
      </c>
      <c r="AW211" t="str">
        <f t="shared" si="557"/>
        <v/>
      </c>
      <c r="AX211" t="str">
        <f t="shared" si="558"/>
        <v/>
      </c>
      <c r="AY211" t="str">
        <f t="shared" si="559"/>
        <v/>
      </c>
      <c r="AZ211" t="str">
        <f t="shared" si="560"/>
        <v/>
      </c>
      <c r="BA211" t="str">
        <f t="shared" si="561"/>
        <v/>
      </c>
      <c r="BB211" t="str">
        <f t="shared" si="562"/>
        <v/>
      </c>
      <c r="BC211" t="str">
        <f t="shared" si="563"/>
        <v/>
      </c>
      <c r="BD211" t="str">
        <f t="shared" si="564"/>
        <v/>
      </c>
      <c r="BE211" t="str">
        <f t="shared" si="565"/>
        <v/>
      </c>
      <c r="BF211" t="str">
        <f t="shared" si="566"/>
        <v/>
      </c>
      <c r="BG211" t="str">
        <f t="shared" si="578"/>
        <v/>
      </c>
      <c r="BH211" t="str">
        <f t="shared" si="567"/>
        <v/>
      </c>
      <c r="BR211">
        <f t="shared" si="591"/>
        <v>35</v>
      </c>
      <c r="BS211" s="44" t="str">
        <f xml:space="preserve"> CONCATENATE( VLOOKUP( $BR211+9, Tables!$B$3:$C$36, 2 ) &amp; IF( BR211&gt;=25, VLOOKUP( $BR211+9-24, Tables!$B$3:$C$36, 2 ), "" ) )</f>
        <v>ZL</v>
      </c>
      <c r="BT211" t="str">
        <f t="shared" si="568"/>
        <v/>
      </c>
      <c r="BV211" t="str">
        <f t="shared" si="581"/>
        <v/>
      </c>
      <c r="BW211" s="44" t="str">
        <f t="shared" si="582"/>
        <v/>
      </c>
      <c r="BX211" t="str">
        <f t="shared" si="583"/>
        <v/>
      </c>
      <c r="BZ211" t="str">
        <f t="shared" si="584"/>
        <v/>
      </c>
      <c r="CA211" t="str">
        <f t="shared" si="584"/>
        <v/>
      </c>
      <c r="CB211" t="str">
        <f t="shared" si="584"/>
        <v/>
      </c>
      <c r="CC211" t="str">
        <f t="shared" si="584"/>
        <v/>
      </c>
      <c r="CD211" t="str">
        <f t="shared" si="584"/>
        <v/>
      </c>
      <c r="CG211" t="str">
        <f t="shared" si="585"/>
        <v/>
      </c>
      <c r="CH211">
        <f t="shared" si="586"/>
        <v>0</v>
      </c>
      <c r="CJ211">
        <f t="shared" si="592"/>
        <v>35</v>
      </c>
      <c r="CK211" t="str">
        <f t="shared" si="609"/>
        <v/>
      </c>
      <c r="DL211"/>
      <c r="EC211" s="44"/>
    </row>
    <row r="212" spans="1:133">
      <c r="D212" t="str">
        <f>"------"</f>
        <v>------</v>
      </c>
      <c r="R212" t="str">
        <f>"------"</f>
        <v>------</v>
      </c>
      <c r="AQ212" t="str">
        <f t="shared" si="589"/>
        <v/>
      </c>
      <c r="AR212" t="str">
        <f t="shared" si="575"/>
        <v/>
      </c>
      <c r="AS212" t="str">
        <f t="shared" si="576"/>
        <v/>
      </c>
      <c r="AT212" t="str">
        <f t="shared" si="577"/>
        <v/>
      </c>
      <c r="AU212" t="str">
        <f t="shared" si="555"/>
        <v/>
      </c>
      <c r="AV212" t="str">
        <f t="shared" si="556"/>
        <v/>
      </c>
      <c r="AW212" t="str">
        <f t="shared" si="557"/>
        <v/>
      </c>
      <c r="AX212" t="str">
        <f t="shared" si="558"/>
        <v/>
      </c>
      <c r="AY212" t="str">
        <f t="shared" si="559"/>
        <v/>
      </c>
      <c r="AZ212" t="str">
        <f t="shared" si="560"/>
        <v/>
      </c>
      <c r="BA212" t="str">
        <f t="shared" si="561"/>
        <v/>
      </c>
      <c r="BB212" t="str">
        <f t="shared" si="562"/>
        <v/>
      </c>
      <c r="BC212" t="str">
        <f t="shared" si="563"/>
        <v/>
      </c>
      <c r="BD212" t="str">
        <f t="shared" si="564"/>
        <v/>
      </c>
      <c r="BE212" t="str">
        <f t="shared" si="565"/>
        <v/>
      </c>
      <c r="BF212" t="str">
        <f t="shared" si="566"/>
        <v/>
      </c>
      <c r="BG212" t="str">
        <f t="shared" si="578"/>
        <v/>
      </c>
      <c r="BH212" t="str">
        <f t="shared" si="567"/>
        <v/>
      </c>
      <c r="BR212">
        <f t="shared" si="591"/>
        <v>36</v>
      </c>
      <c r="BS212" s="44" t="str">
        <f xml:space="preserve"> CONCATENATE( VLOOKUP( $BR212+9, Tables!$B$3:$C$36, 2 ) &amp; IF( BR212&gt;=25, VLOOKUP( $BR212+9-24, Tables!$B$3:$C$36, 2 ), "" ) )</f>
        <v>ZM</v>
      </c>
      <c r="BT212" t="str">
        <f t="shared" si="568"/>
        <v/>
      </c>
      <c r="CJ212">
        <f t="shared" si="592"/>
        <v>36</v>
      </c>
      <c r="CK212" t="str">
        <f t="shared" si="609"/>
        <v/>
      </c>
      <c r="DL212"/>
      <c r="EC212" s="44"/>
    </row>
    <row r="213" spans="1:133">
      <c r="AQ213" t="str">
        <f t="shared" si="589"/>
        <v/>
      </c>
      <c r="AR213" t="str">
        <f t="shared" si="575"/>
        <v/>
      </c>
      <c r="AS213" t="str">
        <f t="shared" si="576"/>
        <v/>
      </c>
      <c r="AT213" t="str">
        <f t="shared" si="577"/>
        <v/>
      </c>
      <c r="AU213" t="str">
        <f t="shared" si="555"/>
        <v/>
      </c>
      <c r="AV213" t="str">
        <f t="shared" si="556"/>
        <v/>
      </c>
      <c r="AW213" t="str">
        <f t="shared" si="557"/>
        <v/>
      </c>
      <c r="AX213" t="str">
        <f t="shared" si="558"/>
        <v/>
      </c>
      <c r="AY213" t="str">
        <f t="shared" si="559"/>
        <v/>
      </c>
      <c r="AZ213" t="str">
        <f t="shared" si="560"/>
        <v/>
      </c>
      <c r="BA213" t="str">
        <f t="shared" si="561"/>
        <v/>
      </c>
      <c r="BB213" t="str">
        <f t="shared" si="562"/>
        <v/>
      </c>
      <c r="BC213" t="str">
        <f t="shared" si="563"/>
        <v/>
      </c>
      <c r="BD213" t="str">
        <f t="shared" si="564"/>
        <v/>
      </c>
      <c r="BE213" t="str">
        <f t="shared" si="565"/>
        <v/>
      </c>
      <c r="BF213" t="str">
        <f t="shared" si="566"/>
        <v/>
      </c>
      <c r="BG213" t="str">
        <f t="shared" si="578"/>
        <v/>
      </c>
      <c r="BH213" t="str">
        <f t="shared" si="567"/>
        <v/>
      </c>
      <c r="BR213">
        <f t="shared" si="591"/>
        <v>37</v>
      </c>
      <c r="BS213" s="44" t="str">
        <f xml:space="preserve"> CONCATENATE( VLOOKUP( $BR213+9, Tables!$B$3:$C$36, 2 ) &amp; IF( BR213&gt;=25, VLOOKUP( $BR213+9-24, Tables!$B$3:$C$36, 2 ), "" ) )</f>
        <v>ZN</v>
      </c>
      <c r="BT213" t="str">
        <f t="shared" si="568"/>
        <v/>
      </c>
      <c r="CJ213">
        <f t="shared" si="592"/>
        <v>37</v>
      </c>
      <c r="CK213" t="str">
        <f t="shared" si="609"/>
        <v/>
      </c>
      <c r="DL213"/>
      <c r="EC213" s="44"/>
    </row>
    <row r="214" spans="1:133">
      <c r="AQ214" t="str">
        <f t="shared" si="589"/>
        <v/>
      </c>
      <c r="AR214" t="str">
        <f t="shared" si="575"/>
        <v/>
      </c>
      <c r="AS214" t="str">
        <f t="shared" si="576"/>
        <v/>
      </c>
      <c r="AT214" t="str">
        <f t="shared" si="577"/>
        <v/>
      </c>
      <c r="AU214" t="str">
        <f t="shared" si="555"/>
        <v/>
      </c>
      <c r="AV214" t="str">
        <f t="shared" si="556"/>
        <v/>
      </c>
      <c r="AW214" t="str">
        <f t="shared" si="557"/>
        <v/>
      </c>
      <c r="AX214" t="str">
        <f t="shared" si="558"/>
        <v/>
      </c>
      <c r="AY214" t="str">
        <f t="shared" si="559"/>
        <v/>
      </c>
      <c r="AZ214" t="str">
        <f t="shared" si="560"/>
        <v/>
      </c>
      <c r="BA214" t="str">
        <f t="shared" si="561"/>
        <v/>
      </c>
      <c r="BB214" t="str">
        <f t="shared" si="562"/>
        <v/>
      </c>
      <c r="BC214" t="str">
        <f t="shared" si="563"/>
        <v/>
      </c>
      <c r="BD214" t="str">
        <f t="shared" si="564"/>
        <v/>
      </c>
      <c r="BE214" t="str">
        <f t="shared" si="565"/>
        <v/>
      </c>
      <c r="BF214" t="str">
        <f t="shared" si="566"/>
        <v/>
      </c>
      <c r="BG214" t="str">
        <f t="shared" si="578"/>
        <v/>
      </c>
      <c r="BH214" t="str">
        <f t="shared" si="567"/>
        <v/>
      </c>
      <c r="BR214">
        <f t="shared" si="591"/>
        <v>38</v>
      </c>
      <c r="BS214" s="44" t="str">
        <f xml:space="preserve"> CONCATENATE( VLOOKUP( $BR214+9, Tables!$B$3:$C$36, 2 ) &amp; IF( BR214&gt;=25, VLOOKUP( $BR214+9-24, Tables!$B$3:$C$36, 2 ), "" ) )</f>
        <v>ZP</v>
      </c>
      <c r="BT214" t="str">
        <f t="shared" si="568"/>
        <v/>
      </c>
      <c r="CJ214">
        <f t="shared" si="592"/>
        <v>38</v>
      </c>
      <c r="CK214" t="str">
        <f t="shared" si="609"/>
        <v/>
      </c>
      <c r="DL214"/>
      <c r="EC214" s="44"/>
    </row>
    <row r="215" spans="1:133">
      <c r="AQ215" t="str">
        <f t="shared" si="589"/>
        <v/>
      </c>
      <c r="AR215" t="str">
        <f t="shared" si="575"/>
        <v/>
      </c>
      <c r="AS215" t="str">
        <f t="shared" si="576"/>
        <v/>
      </c>
      <c r="AT215" t="str">
        <f t="shared" si="577"/>
        <v/>
      </c>
      <c r="AU215" t="str">
        <f t="shared" si="555"/>
        <v/>
      </c>
      <c r="AV215" t="str">
        <f t="shared" si="556"/>
        <v/>
      </c>
      <c r="AW215" t="str">
        <f t="shared" si="557"/>
        <v/>
      </c>
      <c r="AX215" t="str">
        <f t="shared" si="558"/>
        <v/>
      </c>
      <c r="AY215" t="str">
        <f t="shared" si="559"/>
        <v/>
      </c>
      <c r="AZ215" t="str">
        <f t="shared" si="560"/>
        <v/>
      </c>
      <c r="BA215" t="str">
        <f t="shared" si="561"/>
        <v/>
      </c>
      <c r="BB215" t="str">
        <f t="shared" si="562"/>
        <v/>
      </c>
      <c r="BC215" t="str">
        <f t="shared" si="563"/>
        <v/>
      </c>
      <c r="BD215" t="str">
        <f t="shared" si="564"/>
        <v/>
      </c>
      <c r="BE215" t="str">
        <f t="shared" si="565"/>
        <v/>
      </c>
      <c r="BF215" t="str">
        <f t="shared" si="566"/>
        <v/>
      </c>
      <c r="BG215" t="str">
        <f t="shared" si="578"/>
        <v/>
      </c>
      <c r="BH215" t="str">
        <f t="shared" si="567"/>
        <v/>
      </c>
      <c r="BR215">
        <f t="shared" si="591"/>
        <v>39</v>
      </c>
      <c r="BS215" s="44" t="str">
        <f xml:space="preserve"> CONCATENATE( VLOOKUP( $BR215+9, Tables!$B$3:$C$36, 2 ) &amp; IF( BR215&gt;=25, VLOOKUP( $BR215+9-24, Tables!$B$3:$C$36, 2 ), "" ) )</f>
        <v>ZQ</v>
      </c>
      <c r="BT215" t="str">
        <f t="shared" si="568"/>
        <v/>
      </c>
      <c r="CJ215">
        <f t="shared" si="592"/>
        <v>39</v>
      </c>
      <c r="CK215" t="str">
        <f t="shared" si="609"/>
        <v/>
      </c>
      <c r="DL215"/>
      <c r="EC215" s="44"/>
    </row>
    <row r="216" spans="1:133">
      <c r="AQ216" t="str">
        <f t="shared" si="589"/>
        <v/>
      </c>
      <c r="AR216" t="str">
        <f t="shared" si="575"/>
        <v/>
      </c>
      <c r="AS216" t="str">
        <f t="shared" si="576"/>
        <v/>
      </c>
      <c r="AT216" t="str">
        <f t="shared" si="577"/>
        <v/>
      </c>
      <c r="AU216" t="str">
        <f t="shared" si="555"/>
        <v/>
      </c>
      <c r="AV216" t="str">
        <f t="shared" si="556"/>
        <v/>
      </c>
      <c r="AW216" t="str">
        <f t="shared" si="557"/>
        <v/>
      </c>
      <c r="AX216" t="str">
        <f t="shared" si="558"/>
        <v/>
      </c>
      <c r="AY216" t="str">
        <f t="shared" si="559"/>
        <v/>
      </c>
      <c r="AZ216" t="str">
        <f t="shared" si="560"/>
        <v/>
      </c>
      <c r="BA216" t="str">
        <f t="shared" si="561"/>
        <v/>
      </c>
      <c r="BB216" t="str">
        <f t="shared" si="562"/>
        <v/>
      </c>
      <c r="BC216" t="str">
        <f t="shared" si="563"/>
        <v/>
      </c>
      <c r="BD216" t="str">
        <f t="shared" si="564"/>
        <v/>
      </c>
      <c r="BE216" t="str">
        <f t="shared" si="565"/>
        <v/>
      </c>
      <c r="BF216" t="str">
        <f t="shared" si="566"/>
        <v/>
      </c>
      <c r="BG216" t="str">
        <f t="shared" si="578"/>
        <v/>
      </c>
      <c r="BH216" t="str">
        <f t="shared" si="567"/>
        <v/>
      </c>
      <c r="BR216">
        <f t="shared" si="591"/>
        <v>40</v>
      </c>
      <c r="BS216" s="44" t="str">
        <f xml:space="preserve"> CONCATENATE( VLOOKUP( $BR216+9, Tables!$B$3:$C$36, 2 ) &amp; IF( BR216&gt;=25, VLOOKUP( $BR216+9-24, Tables!$B$3:$C$36, 2 ), "" ) )</f>
        <v>ZR</v>
      </c>
      <c r="BT216" t="str">
        <f t="shared" si="568"/>
        <v/>
      </c>
      <c r="CJ216">
        <f t="shared" si="592"/>
        <v>40</v>
      </c>
      <c r="CK216" t="str">
        <f t="shared" si="609"/>
        <v/>
      </c>
      <c r="DL216"/>
      <c r="EC216" s="44"/>
    </row>
    <row r="217" spans="1:133">
      <c r="AQ217" t="str">
        <f t="shared" si="589"/>
        <v/>
      </c>
      <c r="AR217" t="str">
        <f t="shared" si="575"/>
        <v/>
      </c>
      <c r="AS217" t="str">
        <f t="shared" si="576"/>
        <v/>
      </c>
      <c r="AT217" t="str">
        <f t="shared" si="577"/>
        <v/>
      </c>
      <c r="AU217" t="str">
        <f t="shared" si="555"/>
        <v/>
      </c>
      <c r="AV217" t="str">
        <f t="shared" si="556"/>
        <v/>
      </c>
      <c r="AW217" t="str">
        <f t="shared" si="557"/>
        <v/>
      </c>
      <c r="AX217" t="str">
        <f t="shared" si="558"/>
        <v/>
      </c>
      <c r="AY217" t="str">
        <f t="shared" si="559"/>
        <v/>
      </c>
      <c r="AZ217" t="str">
        <f t="shared" si="560"/>
        <v/>
      </c>
      <c r="BA217" t="str">
        <f t="shared" si="561"/>
        <v/>
      </c>
      <c r="BB217" t="str">
        <f t="shared" si="562"/>
        <v/>
      </c>
      <c r="BC217" t="str">
        <f t="shared" si="563"/>
        <v/>
      </c>
      <c r="BD217" t="str">
        <f t="shared" si="564"/>
        <v/>
      </c>
      <c r="BE217" t="str">
        <f t="shared" si="565"/>
        <v/>
      </c>
      <c r="BF217" t="str">
        <f t="shared" si="566"/>
        <v/>
      </c>
      <c r="BG217" t="str">
        <f t="shared" si="578"/>
        <v/>
      </c>
      <c r="BH217" t="str">
        <f t="shared" si="567"/>
        <v/>
      </c>
      <c r="BR217">
        <f t="shared" si="591"/>
        <v>41</v>
      </c>
      <c r="BS217" s="44" t="str">
        <f xml:space="preserve"> CONCATENATE( VLOOKUP( $BR217+9, Tables!$B$3:$C$36, 2 ) &amp; IF( BR217&gt;=25, VLOOKUP( $BR217+9-24, Tables!$B$3:$C$36, 2 ), "" ) )</f>
        <v>ZS</v>
      </c>
      <c r="BT217" t="str">
        <f t="shared" si="568"/>
        <v/>
      </c>
      <c r="CJ217">
        <f t="shared" si="592"/>
        <v>41</v>
      </c>
      <c r="CK217" t="str">
        <f t="shared" si="609"/>
        <v/>
      </c>
      <c r="DL217"/>
      <c r="EC217" s="44"/>
    </row>
    <row r="218" spans="1:133">
      <c r="AQ218" t="str">
        <f t="shared" si="589"/>
        <v/>
      </c>
      <c r="AR218" t="str">
        <f t="shared" si="575"/>
        <v/>
      </c>
      <c r="AS218" t="str">
        <f t="shared" si="576"/>
        <v/>
      </c>
      <c r="AT218" t="str">
        <f t="shared" si="577"/>
        <v/>
      </c>
      <c r="AU218" t="str">
        <f t="shared" si="555"/>
        <v/>
      </c>
      <c r="AV218" t="str">
        <f t="shared" si="556"/>
        <v/>
      </c>
      <c r="AW218" t="str">
        <f t="shared" si="557"/>
        <v/>
      </c>
      <c r="AX218" t="str">
        <f t="shared" si="558"/>
        <v/>
      </c>
      <c r="AY218" t="str">
        <f t="shared" si="559"/>
        <v/>
      </c>
      <c r="AZ218" t="str">
        <f t="shared" si="560"/>
        <v/>
      </c>
      <c r="BA218" t="str">
        <f t="shared" si="561"/>
        <v/>
      </c>
      <c r="BB218" t="str">
        <f t="shared" si="562"/>
        <v/>
      </c>
      <c r="BC218" t="str">
        <f t="shared" si="563"/>
        <v/>
      </c>
      <c r="BD218" t="str">
        <f t="shared" si="564"/>
        <v/>
      </c>
      <c r="BE218" t="str">
        <f t="shared" si="565"/>
        <v/>
      </c>
      <c r="BF218" t="str">
        <f t="shared" si="566"/>
        <v/>
      </c>
      <c r="BG218" t="str">
        <f t="shared" si="578"/>
        <v/>
      </c>
      <c r="BH218" t="str">
        <f t="shared" si="567"/>
        <v/>
      </c>
      <c r="BR218">
        <f t="shared" si="591"/>
        <v>42</v>
      </c>
      <c r="BS218" s="44" t="str">
        <f xml:space="preserve"> CONCATENATE( VLOOKUP( $BR218+9, Tables!$B$3:$C$36, 2 ) &amp; IF( BR218&gt;=25, VLOOKUP( $BR218+9-24, Tables!$B$3:$C$36, 2 ), "" ) )</f>
        <v>ZT</v>
      </c>
      <c r="BT218" t="str">
        <f t="shared" si="568"/>
        <v/>
      </c>
      <c r="CJ218">
        <f t="shared" si="592"/>
        <v>42</v>
      </c>
      <c r="CK218" t="str">
        <f t="shared" si="609"/>
        <v/>
      </c>
      <c r="DL218"/>
      <c r="EC218" s="44"/>
    </row>
    <row r="219" spans="1:133">
      <c r="AQ219" t="str">
        <f t="shared" si="589"/>
        <v/>
      </c>
      <c r="AR219" t="str">
        <f t="shared" si="575"/>
        <v/>
      </c>
      <c r="AS219" t="str">
        <f t="shared" si="576"/>
        <v/>
      </c>
      <c r="AT219" t="str">
        <f t="shared" si="577"/>
        <v/>
      </c>
      <c r="AU219" t="str">
        <f t="shared" si="555"/>
        <v/>
      </c>
      <c r="AV219" t="str">
        <f t="shared" si="556"/>
        <v/>
      </c>
      <c r="AW219" t="str">
        <f t="shared" si="557"/>
        <v/>
      </c>
      <c r="AX219" t="str">
        <f t="shared" si="558"/>
        <v/>
      </c>
      <c r="AY219" t="str">
        <f t="shared" si="559"/>
        <v/>
      </c>
      <c r="AZ219" t="str">
        <f t="shared" si="560"/>
        <v/>
      </c>
      <c r="BA219" t="str">
        <f t="shared" si="561"/>
        <v/>
      </c>
      <c r="BB219" t="str">
        <f t="shared" si="562"/>
        <v/>
      </c>
      <c r="BC219" t="str">
        <f t="shared" si="563"/>
        <v/>
      </c>
      <c r="BD219" t="str">
        <f t="shared" si="564"/>
        <v/>
      </c>
      <c r="BE219" t="str">
        <f t="shared" si="565"/>
        <v/>
      </c>
      <c r="BF219" t="str">
        <f t="shared" si="566"/>
        <v/>
      </c>
      <c r="BG219" t="str">
        <f t="shared" si="578"/>
        <v/>
      </c>
      <c r="BH219" t="str">
        <f t="shared" si="567"/>
        <v/>
      </c>
      <c r="BR219">
        <f t="shared" si="591"/>
        <v>43</v>
      </c>
      <c r="BS219" s="44" t="str">
        <f xml:space="preserve"> CONCATENATE( VLOOKUP( $BR219+9, Tables!$B$3:$C$36, 2 ) &amp; IF( BR219&gt;=25, VLOOKUP( $BR219+9-24, Tables!$B$3:$C$36, 2 ), "" ) )</f>
        <v>ZU</v>
      </c>
      <c r="BT219" t="str">
        <f t="shared" si="568"/>
        <v/>
      </c>
      <c r="CJ219">
        <f t="shared" si="592"/>
        <v>43</v>
      </c>
      <c r="CK219" t="str">
        <f t="shared" si="609"/>
        <v/>
      </c>
      <c r="DL219"/>
      <c r="EC219" s="44"/>
    </row>
    <row r="220" spans="1:133">
      <c r="AQ220" t="str">
        <f t="shared" si="589"/>
        <v/>
      </c>
      <c r="AR220" t="str">
        <f t="shared" si="575"/>
        <v/>
      </c>
      <c r="AS220" t="str">
        <f t="shared" si="576"/>
        <v/>
      </c>
      <c r="AT220" t="str">
        <f t="shared" si="577"/>
        <v/>
      </c>
      <c r="AU220" t="str">
        <f t="shared" si="555"/>
        <v/>
      </c>
      <c r="AV220" t="str">
        <f t="shared" si="556"/>
        <v/>
      </c>
      <c r="AW220" t="str">
        <f t="shared" si="557"/>
        <v/>
      </c>
      <c r="AX220" t="str">
        <f t="shared" si="558"/>
        <v/>
      </c>
      <c r="AY220" t="str">
        <f t="shared" si="559"/>
        <v/>
      </c>
      <c r="AZ220" t="str">
        <f t="shared" si="560"/>
        <v/>
      </c>
      <c r="BA220" t="str">
        <f t="shared" si="561"/>
        <v/>
      </c>
      <c r="BB220" t="str">
        <f t="shared" si="562"/>
        <v/>
      </c>
      <c r="BC220" t="str">
        <f t="shared" si="563"/>
        <v/>
      </c>
      <c r="BD220" t="str">
        <f t="shared" si="564"/>
        <v/>
      </c>
      <c r="BE220" t="str">
        <f t="shared" si="565"/>
        <v/>
      </c>
      <c r="BF220" t="str">
        <f t="shared" si="566"/>
        <v/>
      </c>
      <c r="BG220" t="str">
        <f t="shared" si="578"/>
        <v/>
      </c>
      <c r="BH220" t="str">
        <f t="shared" si="567"/>
        <v/>
      </c>
      <c r="BR220">
        <f t="shared" si="591"/>
        <v>44</v>
      </c>
      <c r="BS220" s="44" t="str">
        <f xml:space="preserve"> CONCATENATE( VLOOKUP( $BR220+9, Tables!$B$3:$C$36, 2 ) &amp; IF( BR220&gt;=25, VLOOKUP( $BR220+9-24, Tables!$B$3:$C$36, 2 ), "" ) )</f>
        <v>ZV</v>
      </c>
      <c r="BT220" t="str">
        <f t="shared" si="568"/>
        <v/>
      </c>
      <c r="CJ220">
        <f t="shared" si="592"/>
        <v>44</v>
      </c>
      <c r="CK220" t="str">
        <f t="shared" si="609"/>
        <v/>
      </c>
      <c r="DL220"/>
      <c r="EC220" s="44"/>
    </row>
    <row r="221" spans="1:133">
      <c r="AQ221" t="str">
        <f t="shared" si="589"/>
        <v/>
      </c>
      <c r="AR221" t="str">
        <f t="shared" si="575"/>
        <v/>
      </c>
      <c r="AS221" t="str">
        <f t="shared" si="576"/>
        <v/>
      </c>
      <c r="AT221" t="str">
        <f t="shared" si="577"/>
        <v/>
      </c>
      <c r="AU221" t="str">
        <f t="shared" si="555"/>
        <v/>
      </c>
      <c r="AV221" t="str">
        <f t="shared" si="556"/>
        <v/>
      </c>
      <c r="AW221" t="str">
        <f t="shared" si="557"/>
        <v/>
      </c>
      <c r="AX221" t="str">
        <f t="shared" si="558"/>
        <v/>
      </c>
      <c r="AY221" t="str">
        <f t="shared" si="559"/>
        <v/>
      </c>
      <c r="AZ221" t="str">
        <f t="shared" si="560"/>
        <v/>
      </c>
      <c r="BA221" t="str">
        <f t="shared" si="561"/>
        <v/>
      </c>
      <c r="BB221" t="str">
        <f t="shared" si="562"/>
        <v/>
      </c>
      <c r="BC221" t="str">
        <f t="shared" si="563"/>
        <v/>
      </c>
      <c r="BD221" t="str">
        <f t="shared" si="564"/>
        <v/>
      </c>
      <c r="BE221" t="str">
        <f t="shared" si="565"/>
        <v/>
      </c>
      <c r="BF221" t="str">
        <f t="shared" si="566"/>
        <v/>
      </c>
      <c r="BG221" t="str">
        <f t="shared" si="578"/>
        <v/>
      </c>
      <c r="BH221" t="str">
        <f t="shared" si="567"/>
        <v/>
      </c>
      <c r="BR221">
        <f t="shared" si="591"/>
        <v>45</v>
      </c>
      <c r="BS221" s="44" t="str">
        <f xml:space="preserve"> CONCATENATE( VLOOKUP( $BR221+9, Tables!$B$3:$C$36, 2 ) &amp; IF( BR221&gt;=25, VLOOKUP( $BR221+9-24, Tables!$B$3:$C$36, 2 ), "" ) )</f>
        <v>ZW</v>
      </c>
      <c r="BT221" t="str">
        <f t="shared" si="568"/>
        <v/>
      </c>
      <c r="CJ221">
        <f t="shared" si="592"/>
        <v>45</v>
      </c>
      <c r="CK221" t="str">
        <f t="shared" si="609"/>
        <v/>
      </c>
      <c r="DL221"/>
      <c r="EC221" s="44"/>
    </row>
    <row r="222" spans="1:133">
      <c r="AQ222" t="str">
        <f t="shared" si="589"/>
        <v/>
      </c>
      <c r="AR222" t="str">
        <f t="shared" si="575"/>
        <v/>
      </c>
      <c r="AS222" t="str">
        <f t="shared" si="576"/>
        <v/>
      </c>
      <c r="AT222" t="str">
        <f t="shared" si="577"/>
        <v/>
      </c>
      <c r="AU222" t="str">
        <f t="shared" si="555"/>
        <v/>
      </c>
      <c r="AV222" t="str">
        <f t="shared" si="556"/>
        <v/>
      </c>
      <c r="AW222" t="str">
        <f t="shared" si="557"/>
        <v/>
      </c>
      <c r="AX222" t="str">
        <f t="shared" si="558"/>
        <v/>
      </c>
      <c r="AY222" t="str">
        <f t="shared" si="559"/>
        <v/>
      </c>
      <c r="AZ222" t="str">
        <f t="shared" si="560"/>
        <v/>
      </c>
      <c r="BA222" t="str">
        <f t="shared" si="561"/>
        <v/>
      </c>
      <c r="BB222" t="str">
        <f t="shared" si="562"/>
        <v/>
      </c>
      <c r="BC222" t="str">
        <f t="shared" si="563"/>
        <v/>
      </c>
      <c r="BD222" t="str">
        <f t="shared" si="564"/>
        <v/>
      </c>
      <c r="BE222" t="str">
        <f t="shared" si="565"/>
        <v/>
      </c>
      <c r="BF222" t="str">
        <f t="shared" si="566"/>
        <v/>
      </c>
      <c r="BG222" t="str">
        <f t="shared" si="578"/>
        <v/>
      </c>
      <c r="BH222" t="str">
        <f t="shared" si="567"/>
        <v/>
      </c>
      <c r="BR222">
        <f t="shared" si="591"/>
        <v>46</v>
      </c>
      <c r="BS222" s="44" t="str">
        <f xml:space="preserve"> CONCATENATE( VLOOKUP( $BR222+9, Tables!$B$3:$C$36, 2 ) &amp; IF( BR222&gt;=25, VLOOKUP( $BR222+9-24, Tables!$B$3:$C$36, 2 ), "" ) )</f>
        <v>ZX</v>
      </c>
      <c r="BT222" t="str">
        <f t="shared" si="568"/>
        <v/>
      </c>
      <c r="CJ222">
        <f t="shared" si="592"/>
        <v>46</v>
      </c>
      <c r="CK222" t="str">
        <f t="shared" si="609"/>
        <v/>
      </c>
      <c r="DL222"/>
      <c r="EC222" s="44"/>
    </row>
    <row r="223" spans="1:133">
      <c r="AQ223" t="str">
        <f t="shared" si="589"/>
        <v/>
      </c>
      <c r="AR223" t="str">
        <f t="shared" si="575"/>
        <v/>
      </c>
      <c r="AS223" t="str">
        <f t="shared" si="576"/>
        <v/>
      </c>
      <c r="AT223" t="str">
        <f t="shared" si="577"/>
        <v/>
      </c>
      <c r="AU223" t="str">
        <f t="shared" si="555"/>
        <v/>
      </c>
      <c r="AV223" t="str">
        <f t="shared" si="556"/>
        <v/>
      </c>
      <c r="AW223" t="str">
        <f t="shared" si="557"/>
        <v/>
      </c>
      <c r="AX223" t="str">
        <f t="shared" si="558"/>
        <v/>
      </c>
      <c r="AY223" t="str">
        <f t="shared" si="559"/>
        <v/>
      </c>
      <c r="AZ223" t="str">
        <f t="shared" si="560"/>
        <v/>
      </c>
      <c r="BA223" t="str">
        <f t="shared" si="561"/>
        <v/>
      </c>
      <c r="BB223" t="str">
        <f t="shared" si="562"/>
        <v/>
      </c>
      <c r="BC223" t="str">
        <f t="shared" si="563"/>
        <v/>
      </c>
      <c r="BD223" t="str">
        <f t="shared" si="564"/>
        <v/>
      </c>
      <c r="BE223" t="str">
        <f t="shared" si="565"/>
        <v/>
      </c>
      <c r="BF223" t="str">
        <f t="shared" si="566"/>
        <v/>
      </c>
      <c r="BG223" t="str">
        <f t="shared" si="578"/>
        <v/>
      </c>
      <c r="BH223" t="str">
        <f t="shared" si="567"/>
        <v/>
      </c>
      <c r="BR223">
        <f t="shared" si="591"/>
        <v>47</v>
      </c>
      <c r="BS223" s="44" t="str">
        <f xml:space="preserve"> CONCATENATE( VLOOKUP( $BR223+9, Tables!$B$3:$C$36, 2 ) &amp; IF( BR223&gt;=25, VLOOKUP( $BR223+9-24, Tables!$B$3:$C$36, 2 ), "" ) )</f>
        <v>ZY</v>
      </c>
      <c r="BT223" t="str">
        <f t="shared" si="568"/>
        <v/>
      </c>
      <c r="CJ223">
        <f t="shared" si="592"/>
        <v>47</v>
      </c>
      <c r="CK223" t="str">
        <f t="shared" si="609"/>
        <v/>
      </c>
      <c r="DL223"/>
      <c r="EC223" s="44"/>
    </row>
    <row r="224" spans="1:133">
      <c r="AQ224" t="str">
        <f t="shared" si="589"/>
        <v/>
      </c>
      <c r="AR224" t="str">
        <f t="shared" si="575"/>
        <v/>
      </c>
      <c r="AS224" t="str">
        <f t="shared" si="576"/>
        <v/>
      </c>
      <c r="AT224" t="str">
        <f t="shared" si="577"/>
        <v/>
      </c>
      <c r="AU224" t="str">
        <f t="shared" si="555"/>
        <v/>
      </c>
      <c r="AV224" t="str">
        <f t="shared" si="556"/>
        <v/>
      </c>
      <c r="AW224" t="str">
        <f t="shared" si="557"/>
        <v/>
      </c>
      <c r="AX224" t="str">
        <f t="shared" si="558"/>
        <v/>
      </c>
      <c r="AY224" t="str">
        <f t="shared" si="559"/>
        <v/>
      </c>
      <c r="AZ224" t="str">
        <f t="shared" si="560"/>
        <v/>
      </c>
      <c r="BA224" t="str">
        <f t="shared" si="561"/>
        <v/>
      </c>
      <c r="BB224" t="str">
        <f t="shared" si="562"/>
        <v/>
      </c>
      <c r="BC224" t="str">
        <f t="shared" si="563"/>
        <v/>
      </c>
      <c r="BD224" t="str">
        <f t="shared" si="564"/>
        <v/>
      </c>
      <c r="BE224" t="str">
        <f t="shared" si="565"/>
        <v/>
      </c>
      <c r="BF224" t="str">
        <f t="shared" si="566"/>
        <v/>
      </c>
      <c r="BG224" t="str">
        <f t="shared" si="578"/>
        <v/>
      </c>
      <c r="BH224" t="str">
        <f t="shared" si="567"/>
        <v/>
      </c>
      <c r="BR224">
        <f t="shared" si="591"/>
        <v>48</v>
      </c>
      <c r="BS224" s="44" t="str">
        <f xml:space="preserve"> CONCATENATE( VLOOKUP( $BR224+9, Tables!$B$3:$C$36, 2 ) &amp; IF( BR224&gt;=25, VLOOKUP( $BR224+9-24, Tables!$B$3:$C$36, 2 ), "" ) )</f>
        <v>ZZ</v>
      </c>
      <c r="BT224" t="str">
        <f t="shared" si="568"/>
        <v/>
      </c>
      <c r="CJ224">
        <f t="shared" si="592"/>
        <v>48</v>
      </c>
      <c r="CK224" t="str">
        <f t="shared" si="609"/>
        <v/>
      </c>
      <c r="DL224"/>
      <c r="EC224" s="44"/>
    </row>
    <row r="225" spans="43:133">
      <c r="AQ225" t="str">
        <f t="shared" si="589"/>
        <v/>
      </c>
      <c r="AR225" t="str">
        <f t="shared" si="575"/>
        <v/>
      </c>
      <c r="AS225" t="str">
        <f t="shared" si="576"/>
        <v/>
      </c>
      <c r="AT225" t="str">
        <f t="shared" si="577"/>
        <v/>
      </c>
      <c r="AU225" t="str">
        <f t="shared" si="555"/>
        <v/>
      </c>
      <c r="AV225" t="str">
        <f t="shared" si="556"/>
        <v/>
      </c>
      <c r="AW225" t="str">
        <f t="shared" si="557"/>
        <v/>
      </c>
      <c r="AX225" t="str">
        <f t="shared" si="558"/>
        <v/>
      </c>
      <c r="AY225" t="str">
        <f t="shared" si="559"/>
        <v/>
      </c>
      <c r="AZ225" t="str">
        <f t="shared" si="560"/>
        <v/>
      </c>
      <c r="BA225" t="str">
        <f t="shared" si="561"/>
        <v/>
      </c>
      <c r="BB225" t="str">
        <f t="shared" si="562"/>
        <v/>
      </c>
      <c r="BC225" t="str">
        <f t="shared" si="563"/>
        <v/>
      </c>
      <c r="BD225" t="str">
        <f t="shared" si="564"/>
        <v/>
      </c>
      <c r="BE225" t="str">
        <f t="shared" si="565"/>
        <v/>
      </c>
      <c r="BF225" t="str">
        <f t="shared" si="566"/>
        <v/>
      </c>
      <c r="BG225" t="str">
        <f t="shared" si="578"/>
        <v/>
      </c>
      <c r="BH225" t="str">
        <f t="shared" si="567"/>
        <v/>
      </c>
      <c r="CJ225">
        <f t="shared" si="592"/>
        <v>49</v>
      </c>
      <c r="CK225" t="str">
        <f t="shared" si="609"/>
        <v/>
      </c>
      <c r="DL225"/>
      <c r="EC225" s="44"/>
    </row>
    <row r="226" spans="43:133">
      <c r="AQ226" t="str">
        <f t="shared" si="589"/>
        <v/>
      </c>
      <c r="AR226" t="str">
        <f t="shared" si="575"/>
        <v/>
      </c>
      <c r="AS226" t="str">
        <f t="shared" si="576"/>
        <v/>
      </c>
      <c r="AT226" t="str">
        <f t="shared" si="577"/>
        <v/>
      </c>
      <c r="AU226" t="str">
        <f t="shared" si="555"/>
        <v/>
      </c>
      <c r="AV226" t="str">
        <f t="shared" si="556"/>
        <v/>
      </c>
      <c r="AW226" t="str">
        <f t="shared" si="557"/>
        <v/>
      </c>
      <c r="AX226" t="str">
        <f t="shared" si="558"/>
        <v/>
      </c>
      <c r="AY226" t="str">
        <f t="shared" si="559"/>
        <v/>
      </c>
      <c r="AZ226" t="str">
        <f t="shared" si="560"/>
        <v/>
      </c>
      <c r="BA226" t="str">
        <f t="shared" si="561"/>
        <v/>
      </c>
      <c r="BB226" t="str">
        <f t="shared" si="562"/>
        <v/>
      </c>
      <c r="BC226" t="str">
        <f t="shared" si="563"/>
        <v/>
      </c>
      <c r="BD226" t="str">
        <f t="shared" si="564"/>
        <v/>
      </c>
      <c r="BE226" t="str">
        <f t="shared" si="565"/>
        <v/>
      </c>
      <c r="BF226" t="str">
        <f t="shared" si="566"/>
        <v/>
      </c>
      <c r="BG226" t="str">
        <f t="shared" si="578"/>
        <v/>
      </c>
      <c r="BH226" t="str">
        <f t="shared" si="567"/>
        <v/>
      </c>
      <c r="CJ226">
        <f t="shared" si="592"/>
        <v>50</v>
      </c>
      <c r="CK226" t="str">
        <f t="shared" si="609"/>
        <v/>
      </c>
      <c r="DL226"/>
      <c r="EC226" s="44"/>
    </row>
    <row r="227" spans="43:133">
      <c r="AQ227" t="str">
        <f t="shared" si="589"/>
        <v/>
      </c>
      <c r="AR227" t="str">
        <f t="shared" si="575"/>
        <v/>
      </c>
      <c r="AS227" t="str">
        <f t="shared" si="576"/>
        <v/>
      </c>
      <c r="AT227" t="str">
        <f t="shared" si="577"/>
        <v/>
      </c>
      <c r="AU227" t="str">
        <f t="shared" si="555"/>
        <v/>
      </c>
      <c r="AV227" t="str">
        <f t="shared" si="556"/>
        <v/>
      </c>
      <c r="AW227" t="str">
        <f t="shared" si="557"/>
        <v/>
      </c>
      <c r="AX227" t="str">
        <f t="shared" si="558"/>
        <v/>
      </c>
      <c r="AY227" t="str">
        <f t="shared" si="559"/>
        <v/>
      </c>
      <c r="AZ227" t="str">
        <f t="shared" si="560"/>
        <v/>
      </c>
      <c r="BA227" t="str">
        <f t="shared" si="561"/>
        <v/>
      </c>
      <c r="BB227" t="str">
        <f t="shared" si="562"/>
        <v/>
      </c>
      <c r="BC227" t="str">
        <f t="shared" si="563"/>
        <v/>
      </c>
      <c r="BD227" t="str">
        <f t="shared" si="564"/>
        <v/>
      </c>
      <c r="BE227" t="str">
        <f t="shared" si="565"/>
        <v/>
      </c>
      <c r="BF227" t="str">
        <f t="shared" si="566"/>
        <v/>
      </c>
      <c r="BG227" t="str">
        <f t="shared" si="578"/>
        <v/>
      </c>
      <c r="BH227" t="str">
        <f t="shared" si="567"/>
        <v/>
      </c>
      <c r="CJ227">
        <f t="shared" si="592"/>
        <v>51</v>
      </c>
      <c r="CK227" t="str">
        <f t="shared" si="609"/>
        <v/>
      </c>
      <c r="DL227"/>
      <c r="EC227" s="44"/>
    </row>
    <row r="228" spans="43:133">
      <c r="AQ228" t="str">
        <f t="shared" si="589"/>
        <v/>
      </c>
      <c r="AR228" t="str">
        <f t="shared" si="575"/>
        <v/>
      </c>
      <c r="AS228" t="str">
        <f t="shared" si="576"/>
        <v/>
      </c>
      <c r="AT228" t="str">
        <f t="shared" si="577"/>
        <v/>
      </c>
      <c r="AU228" t="str">
        <f t="shared" si="555"/>
        <v/>
      </c>
      <c r="AV228" t="str">
        <f t="shared" si="556"/>
        <v/>
      </c>
      <c r="AW228" t="str">
        <f t="shared" si="557"/>
        <v/>
      </c>
      <c r="AX228" t="str">
        <f t="shared" si="558"/>
        <v/>
      </c>
      <c r="AY228" t="str">
        <f t="shared" si="559"/>
        <v/>
      </c>
      <c r="AZ228" t="str">
        <f t="shared" si="560"/>
        <v/>
      </c>
      <c r="BA228" t="str">
        <f t="shared" si="561"/>
        <v/>
      </c>
      <c r="BB228" t="str">
        <f t="shared" si="562"/>
        <v/>
      </c>
      <c r="BC228" t="str">
        <f t="shared" si="563"/>
        <v/>
      </c>
      <c r="BD228" t="str">
        <f t="shared" si="564"/>
        <v/>
      </c>
      <c r="BE228" t="str">
        <f t="shared" si="565"/>
        <v/>
      </c>
      <c r="BF228" t="str">
        <f t="shared" si="566"/>
        <v/>
      </c>
      <c r="BG228" t="str">
        <f t="shared" si="578"/>
        <v/>
      </c>
      <c r="BH228" t="str">
        <f t="shared" si="567"/>
        <v/>
      </c>
      <c r="CJ228">
        <f t="shared" si="592"/>
        <v>52</v>
      </c>
      <c r="CK228" t="str">
        <f t="shared" si="609"/>
        <v/>
      </c>
      <c r="DL228"/>
      <c r="EC228" s="44"/>
    </row>
    <row r="229" spans="43:133">
      <c r="AQ229" t="str">
        <f t="shared" si="589"/>
        <v/>
      </c>
      <c r="AR229" t="str">
        <f t="shared" si="575"/>
        <v/>
      </c>
      <c r="AS229" t="str">
        <f t="shared" si="576"/>
        <v/>
      </c>
      <c r="AT229" t="str">
        <f t="shared" si="577"/>
        <v/>
      </c>
      <c r="AU229" t="str">
        <f t="shared" si="555"/>
        <v/>
      </c>
      <c r="AV229" t="str">
        <f t="shared" si="556"/>
        <v/>
      </c>
      <c r="AW229" t="str">
        <f t="shared" si="557"/>
        <v/>
      </c>
      <c r="AX229" t="str">
        <f t="shared" si="558"/>
        <v/>
      </c>
      <c r="AY229" t="str">
        <f t="shared" si="559"/>
        <v/>
      </c>
      <c r="AZ229" t="str">
        <f t="shared" si="560"/>
        <v/>
      </c>
      <c r="BA229" t="str">
        <f t="shared" si="561"/>
        <v/>
      </c>
      <c r="BB229" t="str">
        <f t="shared" si="562"/>
        <v/>
      </c>
      <c r="BC229" t="str">
        <f t="shared" si="563"/>
        <v/>
      </c>
      <c r="BD229" t="str">
        <f t="shared" si="564"/>
        <v/>
      </c>
      <c r="BE229" t="str">
        <f t="shared" si="565"/>
        <v/>
      </c>
      <c r="BF229" t="str">
        <f t="shared" si="566"/>
        <v/>
      </c>
      <c r="BG229" t="str">
        <f t="shared" si="578"/>
        <v/>
      </c>
      <c r="BH229" t="str">
        <f t="shared" si="567"/>
        <v/>
      </c>
      <c r="CJ229">
        <f t="shared" si="592"/>
        <v>53</v>
      </c>
      <c r="CK229" t="str">
        <f t="shared" si="609"/>
        <v/>
      </c>
      <c r="DL229"/>
      <c r="EC229" s="44"/>
    </row>
    <row r="230" spans="43:133">
      <c r="AQ230" t="str">
        <f t="shared" si="589"/>
        <v/>
      </c>
      <c r="AR230" t="str">
        <f t="shared" si="575"/>
        <v/>
      </c>
      <c r="AS230" t="str">
        <f t="shared" si="576"/>
        <v/>
      </c>
      <c r="AT230" t="str">
        <f t="shared" si="577"/>
        <v/>
      </c>
      <c r="AU230" t="str">
        <f t="shared" si="555"/>
        <v/>
      </c>
      <c r="AV230" t="str">
        <f t="shared" si="556"/>
        <v/>
      </c>
      <c r="AW230" t="str">
        <f t="shared" si="557"/>
        <v/>
      </c>
      <c r="AX230" t="str">
        <f t="shared" si="558"/>
        <v/>
      </c>
      <c r="AY230" t="str">
        <f t="shared" si="559"/>
        <v/>
      </c>
      <c r="AZ230" t="str">
        <f t="shared" si="560"/>
        <v/>
      </c>
      <c r="BA230" t="str">
        <f t="shared" si="561"/>
        <v/>
      </c>
      <c r="BB230" t="str">
        <f t="shared" si="562"/>
        <v/>
      </c>
      <c r="BC230" t="str">
        <f t="shared" si="563"/>
        <v/>
      </c>
      <c r="BD230" t="str">
        <f t="shared" si="564"/>
        <v/>
      </c>
      <c r="BE230" t="str">
        <f t="shared" si="565"/>
        <v/>
      </c>
      <c r="BF230" t="str">
        <f t="shared" si="566"/>
        <v/>
      </c>
      <c r="BG230" t="str">
        <f t="shared" si="578"/>
        <v/>
      </c>
      <c r="BH230" t="str">
        <f t="shared" si="567"/>
        <v/>
      </c>
      <c r="CJ230">
        <f t="shared" si="592"/>
        <v>54</v>
      </c>
      <c r="CK230" t="str">
        <f t="shared" si="609"/>
        <v/>
      </c>
      <c r="DL230"/>
      <c r="EC230" s="44"/>
    </row>
    <row r="231" spans="43:133">
      <c r="AQ231" t="str">
        <f t="shared" si="589"/>
        <v/>
      </c>
      <c r="AR231" t="str">
        <f t="shared" si="575"/>
        <v/>
      </c>
      <c r="AS231" t="str">
        <f t="shared" si="576"/>
        <v/>
      </c>
      <c r="AT231" t="str">
        <f t="shared" si="577"/>
        <v/>
      </c>
      <c r="AU231" t="str">
        <f t="shared" si="555"/>
        <v/>
      </c>
      <c r="AV231" t="str">
        <f t="shared" si="556"/>
        <v/>
      </c>
      <c r="AW231" t="str">
        <f t="shared" si="557"/>
        <v/>
      </c>
      <c r="AX231" t="str">
        <f t="shared" si="558"/>
        <v/>
      </c>
      <c r="AY231" t="str">
        <f t="shared" si="559"/>
        <v/>
      </c>
      <c r="AZ231" t="str">
        <f t="shared" si="560"/>
        <v/>
      </c>
      <c r="BA231" t="str">
        <f t="shared" si="561"/>
        <v/>
      </c>
      <c r="BB231" t="str">
        <f t="shared" si="562"/>
        <v/>
      </c>
      <c r="BC231" t="str">
        <f t="shared" si="563"/>
        <v/>
      </c>
      <c r="BD231" t="str">
        <f t="shared" si="564"/>
        <v/>
      </c>
      <c r="BE231" t="str">
        <f t="shared" si="565"/>
        <v/>
      </c>
      <c r="BF231" t="str">
        <f t="shared" si="566"/>
        <v/>
      </c>
      <c r="BG231" t="str">
        <f t="shared" si="578"/>
        <v/>
      </c>
      <c r="BH231" t="str">
        <f t="shared" si="567"/>
        <v/>
      </c>
      <c r="CJ231">
        <f t="shared" si="592"/>
        <v>55</v>
      </c>
      <c r="CK231" t="str">
        <f t="shared" si="609"/>
        <v/>
      </c>
      <c r="DL231"/>
      <c r="EC231" s="44"/>
    </row>
    <row r="232" spans="43:133">
      <c r="AQ232" t="str">
        <f t="shared" si="589"/>
        <v/>
      </c>
      <c r="AR232" t="str">
        <f t="shared" si="575"/>
        <v/>
      </c>
      <c r="AS232" t="str">
        <f t="shared" si="576"/>
        <v/>
      </c>
      <c r="AT232" t="str">
        <f t="shared" si="577"/>
        <v/>
      </c>
      <c r="AU232" t="str">
        <f t="shared" si="555"/>
        <v/>
      </c>
      <c r="AV232" t="str">
        <f t="shared" si="556"/>
        <v/>
      </c>
      <c r="AW232" t="str">
        <f t="shared" si="557"/>
        <v/>
      </c>
      <c r="AX232" t="str">
        <f t="shared" si="558"/>
        <v/>
      </c>
      <c r="AY232" t="str">
        <f t="shared" si="559"/>
        <v/>
      </c>
      <c r="AZ232" t="str">
        <f t="shared" si="560"/>
        <v/>
      </c>
      <c r="BA232" t="str">
        <f t="shared" si="561"/>
        <v/>
      </c>
      <c r="BB232" t="str">
        <f t="shared" si="562"/>
        <v/>
      </c>
      <c r="BC232" t="str">
        <f t="shared" si="563"/>
        <v/>
      </c>
      <c r="BD232" t="str">
        <f t="shared" si="564"/>
        <v/>
      </c>
      <c r="BE232" t="str">
        <f t="shared" si="565"/>
        <v/>
      </c>
      <c r="BF232" t="str">
        <f t="shared" si="566"/>
        <v/>
      </c>
      <c r="BG232" t="str">
        <f t="shared" si="578"/>
        <v/>
      </c>
      <c r="BH232" t="str">
        <f t="shared" si="567"/>
        <v/>
      </c>
      <c r="CJ232">
        <f t="shared" si="592"/>
        <v>56</v>
      </c>
      <c r="CK232" t="str">
        <f t="shared" si="609"/>
        <v/>
      </c>
      <c r="DL232"/>
      <c r="EC232" s="44"/>
    </row>
    <row r="233" spans="43:133">
      <c r="AQ233" t="str">
        <f t="shared" si="589"/>
        <v/>
      </c>
      <c r="AR233" t="str">
        <f t="shared" si="575"/>
        <v/>
      </c>
      <c r="AS233" t="str">
        <f t="shared" si="576"/>
        <v/>
      </c>
      <c r="AT233" t="str">
        <f t="shared" si="577"/>
        <v/>
      </c>
      <c r="AU233" t="str">
        <f t="shared" si="555"/>
        <v/>
      </c>
      <c r="AV233" t="str">
        <f t="shared" si="556"/>
        <v/>
      </c>
      <c r="AW233" t="str">
        <f t="shared" si="557"/>
        <v/>
      </c>
      <c r="AX233" t="str">
        <f t="shared" si="558"/>
        <v/>
      </c>
      <c r="AY233" t="str">
        <f t="shared" si="559"/>
        <v/>
      </c>
      <c r="AZ233" t="str">
        <f t="shared" si="560"/>
        <v/>
      </c>
      <c r="BA233" t="str">
        <f t="shared" si="561"/>
        <v/>
      </c>
      <c r="BB233" t="str">
        <f t="shared" si="562"/>
        <v/>
      </c>
      <c r="BC233" t="str">
        <f t="shared" si="563"/>
        <v/>
      </c>
      <c r="BD233" t="str">
        <f t="shared" si="564"/>
        <v/>
      </c>
      <c r="BE233" t="str">
        <f t="shared" si="565"/>
        <v/>
      </c>
      <c r="BF233" t="str">
        <f t="shared" si="566"/>
        <v/>
      </c>
      <c r="BG233" t="str">
        <f t="shared" si="578"/>
        <v/>
      </c>
      <c r="BH233" t="str">
        <f t="shared" si="567"/>
        <v/>
      </c>
      <c r="CJ233">
        <f t="shared" si="592"/>
        <v>57</v>
      </c>
      <c r="CK233" t="str">
        <f t="shared" si="609"/>
        <v/>
      </c>
      <c r="DL233"/>
      <c r="EC233" s="44"/>
    </row>
    <row r="234" spans="43:133">
      <c r="AQ234" t="str">
        <f t="shared" si="589"/>
        <v/>
      </c>
      <c r="AR234" t="str">
        <f t="shared" si="575"/>
        <v/>
      </c>
      <c r="AS234" t="str">
        <f t="shared" si="576"/>
        <v/>
      </c>
      <c r="AT234" t="str">
        <f t="shared" si="577"/>
        <v/>
      </c>
      <c r="AU234" t="str">
        <f t="shared" si="555"/>
        <v/>
      </c>
      <c r="AV234" t="str">
        <f t="shared" si="556"/>
        <v/>
      </c>
      <c r="AW234" t="str">
        <f t="shared" si="557"/>
        <v/>
      </c>
      <c r="AX234" t="str">
        <f t="shared" si="558"/>
        <v/>
      </c>
      <c r="AY234" t="str">
        <f t="shared" si="559"/>
        <v/>
      </c>
      <c r="AZ234" t="str">
        <f t="shared" si="560"/>
        <v/>
      </c>
      <c r="BA234" t="str">
        <f t="shared" si="561"/>
        <v/>
      </c>
      <c r="BB234" t="str">
        <f t="shared" si="562"/>
        <v/>
      </c>
      <c r="BC234" t="str">
        <f t="shared" si="563"/>
        <v/>
      </c>
      <c r="BD234" t="str">
        <f t="shared" si="564"/>
        <v/>
      </c>
      <c r="BE234" t="str">
        <f t="shared" si="565"/>
        <v/>
      </c>
      <c r="BF234" t="str">
        <f t="shared" si="566"/>
        <v/>
      </c>
      <c r="BG234" t="str">
        <f t="shared" si="578"/>
        <v/>
      </c>
      <c r="BH234" t="str">
        <f t="shared" si="567"/>
        <v/>
      </c>
      <c r="CJ234">
        <f t="shared" si="592"/>
        <v>58</v>
      </c>
      <c r="CK234" t="str">
        <f t="shared" si="609"/>
        <v/>
      </c>
      <c r="DL234"/>
      <c r="EC234" s="44"/>
    </row>
    <row r="235" spans="43:133">
      <c r="AQ235" t="str">
        <f t="shared" si="589"/>
        <v/>
      </c>
      <c r="AR235" t="str">
        <f t="shared" si="575"/>
        <v/>
      </c>
      <c r="AS235" t="str">
        <f t="shared" si="576"/>
        <v/>
      </c>
      <c r="AT235" t="str">
        <f t="shared" si="577"/>
        <v/>
      </c>
      <c r="AU235" t="str">
        <f t="shared" si="555"/>
        <v/>
      </c>
      <c r="AV235" t="str">
        <f t="shared" si="556"/>
        <v/>
      </c>
      <c r="AW235" t="str">
        <f t="shared" si="557"/>
        <v/>
      </c>
      <c r="AX235" t="str">
        <f t="shared" si="558"/>
        <v/>
      </c>
      <c r="AY235" t="str">
        <f t="shared" si="559"/>
        <v/>
      </c>
      <c r="AZ235" t="str">
        <f t="shared" si="560"/>
        <v/>
      </c>
      <c r="BA235" t="str">
        <f t="shared" si="561"/>
        <v/>
      </c>
      <c r="BB235" t="str">
        <f t="shared" si="562"/>
        <v/>
      </c>
      <c r="BC235" t="str">
        <f t="shared" si="563"/>
        <v/>
      </c>
      <c r="BD235" t="str">
        <f t="shared" si="564"/>
        <v/>
      </c>
      <c r="BE235" t="str">
        <f t="shared" si="565"/>
        <v/>
      </c>
      <c r="BF235" t="str">
        <f t="shared" si="566"/>
        <v/>
      </c>
      <c r="BG235" t="str">
        <f t="shared" si="578"/>
        <v/>
      </c>
      <c r="BH235" t="str">
        <f t="shared" si="567"/>
        <v/>
      </c>
      <c r="CJ235">
        <f t="shared" si="592"/>
        <v>59</v>
      </c>
      <c r="CK235" t="str">
        <f t="shared" si="609"/>
        <v/>
      </c>
      <c r="DL235"/>
      <c r="EC235" s="44"/>
    </row>
    <row r="236" spans="43:133">
      <c r="AQ236" t="str">
        <f t="shared" si="589"/>
        <v/>
      </c>
      <c r="AR236" t="str">
        <f t="shared" si="575"/>
        <v/>
      </c>
      <c r="AS236" t="str">
        <f t="shared" si="576"/>
        <v/>
      </c>
      <c r="AT236" t="str">
        <f t="shared" si="577"/>
        <v/>
      </c>
      <c r="AU236" t="str">
        <f t="shared" si="555"/>
        <v/>
      </c>
      <c r="AV236" t="str">
        <f t="shared" si="556"/>
        <v/>
      </c>
      <c r="AW236" t="str">
        <f t="shared" si="557"/>
        <v/>
      </c>
      <c r="AX236" t="str">
        <f t="shared" si="558"/>
        <v/>
      </c>
      <c r="AY236" t="str">
        <f t="shared" si="559"/>
        <v/>
      </c>
      <c r="AZ236" t="str">
        <f t="shared" si="560"/>
        <v/>
      </c>
      <c r="BA236" t="str">
        <f t="shared" si="561"/>
        <v/>
      </c>
      <c r="BB236" t="str">
        <f t="shared" si="562"/>
        <v/>
      </c>
      <c r="BC236" t="str">
        <f t="shared" si="563"/>
        <v/>
      </c>
      <c r="BD236" t="str">
        <f t="shared" si="564"/>
        <v/>
      </c>
      <c r="BE236" t="str">
        <f t="shared" si="565"/>
        <v/>
      </c>
      <c r="BF236" t="str">
        <f t="shared" si="566"/>
        <v/>
      </c>
      <c r="BG236" t="str">
        <f t="shared" si="578"/>
        <v/>
      </c>
      <c r="BH236" t="str">
        <f t="shared" si="567"/>
        <v/>
      </c>
      <c r="CJ236">
        <f t="shared" si="592"/>
        <v>60</v>
      </c>
      <c r="CK236" t="str">
        <f t="shared" si="609"/>
        <v/>
      </c>
      <c r="DL236"/>
      <c r="EC236" s="44"/>
    </row>
    <row r="237" spans="43:133">
      <c r="AQ237" t="str">
        <f t="shared" si="589"/>
        <v/>
      </c>
      <c r="AR237" t="str">
        <f t="shared" si="575"/>
        <v/>
      </c>
      <c r="AS237" t="str">
        <f t="shared" si="576"/>
        <v/>
      </c>
      <c r="AT237" t="str">
        <f t="shared" si="577"/>
        <v/>
      </c>
      <c r="AU237" t="str">
        <f t="shared" si="555"/>
        <v/>
      </c>
      <c r="AV237" t="str">
        <f t="shared" si="556"/>
        <v/>
      </c>
      <c r="AW237" t="str">
        <f t="shared" si="557"/>
        <v/>
      </c>
      <c r="AX237" t="str">
        <f t="shared" si="558"/>
        <v/>
      </c>
      <c r="AY237" t="str">
        <f t="shared" si="559"/>
        <v/>
      </c>
      <c r="AZ237" t="str">
        <f t="shared" si="560"/>
        <v/>
      </c>
      <c r="BA237" t="str">
        <f t="shared" si="561"/>
        <v/>
      </c>
      <c r="BB237" t="str">
        <f t="shared" si="562"/>
        <v/>
      </c>
      <c r="BC237" t="str">
        <f t="shared" si="563"/>
        <v/>
      </c>
      <c r="BD237" t="str">
        <f t="shared" si="564"/>
        <v/>
      </c>
      <c r="BE237" t="str">
        <f t="shared" si="565"/>
        <v/>
      </c>
      <c r="BF237" t="str">
        <f t="shared" si="566"/>
        <v/>
      </c>
      <c r="BG237" t="str">
        <f t="shared" si="578"/>
        <v/>
      </c>
      <c r="BH237" t="str">
        <f t="shared" si="567"/>
        <v/>
      </c>
      <c r="CJ237">
        <f t="shared" si="592"/>
        <v>61</v>
      </c>
      <c r="CK237" t="str">
        <f t="shared" si="609"/>
        <v/>
      </c>
      <c r="DL237"/>
      <c r="EC237" s="44"/>
    </row>
    <row r="238" spans="43:133">
      <c r="AQ238" t="str">
        <f t="shared" si="589"/>
        <v/>
      </c>
      <c r="AR238" t="str">
        <f t="shared" si="575"/>
        <v/>
      </c>
      <c r="AS238" t="str">
        <f t="shared" si="576"/>
        <v/>
      </c>
      <c r="AT238" t="str">
        <f t="shared" si="577"/>
        <v/>
      </c>
      <c r="AU238" t="str">
        <f t="shared" si="555"/>
        <v/>
      </c>
      <c r="AV238" t="str">
        <f t="shared" si="556"/>
        <v/>
      </c>
      <c r="AW238" t="str">
        <f t="shared" si="557"/>
        <v/>
      </c>
      <c r="AX238" t="str">
        <f t="shared" si="558"/>
        <v/>
      </c>
      <c r="AY238" t="str">
        <f t="shared" si="559"/>
        <v/>
      </c>
      <c r="AZ238" t="str">
        <f t="shared" si="560"/>
        <v/>
      </c>
      <c r="BA238" t="str">
        <f t="shared" si="561"/>
        <v/>
      </c>
      <c r="BB238" t="str">
        <f t="shared" si="562"/>
        <v/>
      </c>
      <c r="BC238" t="str">
        <f t="shared" si="563"/>
        <v/>
      </c>
      <c r="BD238" t="str">
        <f t="shared" si="564"/>
        <v/>
      </c>
      <c r="BE238" t="str">
        <f t="shared" si="565"/>
        <v/>
      </c>
      <c r="BF238" t="str">
        <f t="shared" si="566"/>
        <v/>
      </c>
      <c r="BG238" t="str">
        <f t="shared" si="578"/>
        <v/>
      </c>
      <c r="BH238" t="str">
        <f t="shared" si="567"/>
        <v/>
      </c>
      <c r="CJ238">
        <f t="shared" si="592"/>
        <v>62</v>
      </c>
      <c r="CK238" t="str">
        <f t="shared" si="609"/>
        <v/>
      </c>
      <c r="DL238"/>
      <c r="EC238" s="44"/>
    </row>
    <row r="239" spans="43:133">
      <c r="AQ239" t="str">
        <f t="shared" si="589"/>
        <v/>
      </c>
      <c r="AR239" t="str">
        <f t="shared" si="575"/>
        <v/>
      </c>
      <c r="AS239" t="str">
        <f t="shared" si="576"/>
        <v/>
      </c>
      <c r="AT239" t="str">
        <f t="shared" si="577"/>
        <v/>
      </c>
      <c r="AU239" t="str">
        <f t="shared" si="555"/>
        <v/>
      </c>
      <c r="AV239" t="str">
        <f t="shared" si="556"/>
        <v/>
      </c>
      <c r="AW239" t="str">
        <f t="shared" si="557"/>
        <v/>
      </c>
      <c r="AX239" t="str">
        <f t="shared" si="558"/>
        <v/>
      </c>
      <c r="AY239" t="str">
        <f t="shared" si="559"/>
        <v/>
      </c>
      <c r="AZ239" t="str">
        <f t="shared" si="560"/>
        <v/>
      </c>
      <c r="BA239" t="str">
        <f t="shared" si="561"/>
        <v/>
      </c>
      <c r="BB239" t="str">
        <f t="shared" si="562"/>
        <v/>
      </c>
      <c r="BC239" t="str">
        <f t="shared" si="563"/>
        <v/>
      </c>
      <c r="BD239" t="str">
        <f t="shared" si="564"/>
        <v/>
      </c>
      <c r="BE239" t="str">
        <f t="shared" si="565"/>
        <v/>
      </c>
      <c r="BF239" t="str">
        <f t="shared" si="566"/>
        <v/>
      </c>
      <c r="BG239" t="str">
        <f t="shared" si="578"/>
        <v/>
      </c>
      <c r="BH239" t="str">
        <f t="shared" si="567"/>
        <v/>
      </c>
      <c r="CJ239">
        <f t="shared" si="592"/>
        <v>63</v>
      </c>
      <c r="CK239" t="str">
        <f t="shared" si="609"/>
        <v/>
      </c>
      <c r="DL239"/>
      <c r="EC239" s="44"/>
    </row>
    <row r="240" spans="43:133">
      <c r="AQ240" t="str">
        <f t="shared" si="589"/>
        <v/>
      </c>
      <c r="AR240" t="str">
        <f t="shared" si="575"/>
        <v/>
      </c>
      <c r="AS240" t="str">
        <f t="shared" si="576"/>
        <v/>
      </c>
      <c r="AT240" t="str">
        <f t="shared" si="577"/>
        <v/>
      </c>
      <c r="AU240" t="str">
        <f t="shared" si="555"/>
        <v/>
      </c>
      <c r="AV240" t="str">
        <f t="shared" si="556"/>
        <v/>
      </c>
      <c r="AW240" t="str">
        <f t="shared" si="557"/>
        <v/>
      </c>
      <c r="AX240" t="str">
        <f t="shared" si="558"/>
        <v/>
      </c>
      <c r="AY240" t="str">
        <f t="shared" si="559"/>
        <v/>
      </c>
      <c r="AZ240" t="str">
        <f t="shared" si="560"/>
        <v/>
      </c>
      <c r="BA240" t="str">
        <f t="shared" si="561"/>
        <v/>
      </c>
      <c r="BB240" t="str">
        <f t="shared" si="562"/>
        <v/>
      </c>
      <c r="BC240" t="str">
        <f t="shared" si="563"/>
        <v/>
      </c>
      <c r="BD240" t="str">
        <f t="shared" si="564"/>
        <v/>
      </c>
      <c r="BE240" t="str">
        <f t="shared" si="565"/>
        <v/>
      </c>
      <c r="BF240" t="str">
        <f t="shared" si="566"/>
        <v/>
      </c>
      <c r="BG240" t="str">
        <f t="shared" si="578"/>
        <v/>
      </c>
      <c r="BH240" t="str">
        <f t="shared" si="567"/>
        <v/>
      </c>
      <c r="CJ240">
        <f t="shared" si="592"/>
        <v>64</v>
      </c>
      <c r="CK240" t="str">
        <f t="shared" si="609"/>
        <v/>
      </c>
      <c r="DL240"/>
      <c r="EC240" s="44"/>
    </row>
    <row r="241" spans="43:133">
      <c r="AQ241" t="str">
        <f t="shared" si="589"/>
        <v/>
      </c>
      <c r="AR241" t="str">
        <f t="shared" si="575"/>
        <v/>
      </c>
      <c r="AS241" t="str">
        <f t="shared" si="576"/>
        <v/>
      </c>
      <c r="AT241" t="str">
        <f t="shared" si="577"/>
        <v/>
      </c>
      <c r="AU241" t="str">
        <f t="shared" ref="AU241:AU304" si="614" xml:space="preserve"> IF( $AR241=AU$176, IF( AND($AS241=1,$AS242=1), $AR241, VLOOKUP( MIN($AO$177-0.001,($AS241-0.5))*HitSize, $DW$4:$EZ$125, AU$175 )), "" )</f>
        <v/>
      </c>
      <c r="AV241" t="str">
        <f t="shared" ref="AV241:AV304" si="615" xml:space="preserve"> IF( $AR241=AV$176, IF( AND($AS241=1,$AS242=1), $AR241, VLOOKUP( MIN($AO$178-0.001,($AS241-0.5))*HitSize, $DY$4:$EZ$125, AV$175 )), "" )</f>
        <v/>
      </c>
      <c r="AW241" t="str">
        <f t="shared" ref="AW241:AW304" si="616" xml:space="preserve"> IF( $AR241=AW$176, IF( AND($AS241=1,$AS242=1), $AR241, VLOOKUP( MIN($AO$179-0.001,($AS241-0.5))*HitSize, $EA$4:$EZ$125, AW$175 )), "" )</f>
        <v/>
      </c>
      <c r="AX241" t="str">
        <f t="shared" ref="AX241:AX304" si="617" xml:space="preserve"> IF( $AR241=AX$176, IF( AND($AS241=1,$AS242=1), $AR241, VLOOKUP( MIN($AO$180-0.001,($AS241-0.5))*HitSize, $EE$4:$EZ$125, AX$175 )), "" )</f>
        <v/>
      </c>
      <c r="AY241" t="str">
        <f t="shared" ref="AY241:AY304" si="618" xml:space="preserve"> IF( $AR241=AY$176, IF( AND($AS241=1,$AS242=1), $AR241, VLOOKUP( MIN($AO$181-0.001,($AS241-0.5))*HitSize, $EG$4:$EZ$125, AY$175 )), "" )</f>
        <v/>
      </c>
      <c r="AZ241" t="str">
        <f t="shared" ref="AZ241:AZ304" si="619" xml:space="preserve"> IF( $AR241=AZ$176, IF( AND($AS241=1,$AS242=1), $AR241, VLOOKUP( MIN($AO$182-0.001,($AS241-0.5))*HitSize, $EC$4:$EZ$125, AZ$175 )), "" )</f>
        <v/>
      </c>
      <c r="BA241" t="str">
        <f t="shared" ref="BA241:BA304" si="620" xml:space="preserve"> IF( $AR241=BA$176, IF( AND($AS241=1,$AS242=1), $AR241, VLOOKUP( MIN($AO$183-0.001,($AS241-0.5))*HitSize, $EM$4:$EZ$125, BA$175 )), "" )</f>
        <v/>
      </c>
      <c r="BB241" t="str">
        <f t="shared" ref="BB241:BB304" si="621" xml:space="preserve"> IF( $AR241=BB$176, IF( AND($AS241=1,$AS242=1), $AR241, VLOOKUP( MIN($AO$184-0.001,($AS241-0.5))*HitSize, $EK$4:$EZ$125, BB$175 )), "" )</f>
        <v/>
      </c>
      <c r="BC241" t="str">
        <f t="shared" ref="BC241:BC304" si="622" xml:space="preserve"> IF( $AR241=BC$176, IF( AND($AS241=1,$AS242=1), $AR241, VLOOKUP( MIN($AO$185-0.001,($AS241-0.5))*HitSize, $EI$4:$EZ$125, BC$175 )), "" )</f>
        <v/>
      </c>
      <c r="BD241" t="str">
        <f t="shared" ref="BD241:BD304" si="623" xml:space="preserve"> IF( $AR241=BD$176, IF( AND($AS241=1,$AS242=1), $AR241, VLOOKUP( MIN($AO$186-0.001,($AS241-0.5))*HitSize, $EO$4:$EZ$125, BD$175 )), "" )</f>
        <v/>
      </c>
      <c r="BE241" t="str">
        <f t="shared" ref="BE241:BE304" si="624" xml:space="preserve"> IF( $AR241=BE$176, IF( AND($AS241=1,$AS242=1), $AR241, VLOOKUP( MIN($AO$187-0.001,($AS241-0.5))*HitSize, $EQ$4:$EZ$125, BE$175 )), "" )</f>
        <v/>
      </c>
      <c r="BF241" t="str">
        <f t="shared" ref="BF241:BF304" si="625" xml:space="preserve"> IF( $AR241=BF$176, IF( AND($AS241=1,$AS242=1), $AR241, VLOOKUP( MIN($AO$188-0.001,($AS241-0.5))*HitSize, $ES$4:$EZ$125, BF$175 )), "" )</f>
        <v/>
      </c>
      <c r="BG241" t="str">
        <f t="shared" si="578"/>
        <v/>
      </c>
      <c r="BH241" t="str">
        <f t="shared" ref="BH241:BH304" si="626" xml:space="preserve"> IF( $AR241=BH$176, IF( AND($AS241=1,$AS242=1), $AR241, VLOOKUP( MAX(0,$AO$190+1-$AS241-0.5)*HitSize, $EW$4:$EZ$125, BH$175 )), "" )</f>
        <v/>
      </c>
      <c r="CJ241">
        <f t="shared" si="592"/>
        <v>65</v>
      </c>
      <c r="CK241" t="str">
        <f t="shared" ref="CK241:CK251" si="627" xml:space="preserve"> IF( CJ241&lt;=$BP$174, VLOOKUP( CJ241, $FD$4:$FF$125, 3 ), "" )</f>
        <v/>
      </c>
      <c r="DL241"/>
      <c r="EC241" s="44"/>
    </row>
    <row r="242" spans="43:133">
      <c r="AQ242" t="str">
        <f t="shared" si="589"/>
        <v/>
      </c>
      <c r="AR242" t="str">
        <f t="shared" ref="AR242:AR305" si="628" xml:space="preserve"> IF( AQ242&lt;&gt;"", IF( AND($AO$195&gt;0,AQ242&gt;=$AO$196,AQ242&lt;$AO$196+$AO$195), "JumpD", VLOOKUP( (AQ242-0.5-IF(AQ242&gt;$AO$196,$AO$195,0))*HitSize, $AL$177:$AN$190, 3 )), "" )</f>
        <v/>
      </c>
      <c r="AS242" t="str">
        <f t="shared" ref="AS242:AS305" si="629" xml:space="preserve"> IF( AR242&lt;&gt;"", IF( AND( $AO$195&gt;0,AQ242=($AO$196+$AO$195)), IF(AR242=$AN$199,$AO$199+1,1), IF(AR242&lt;&gt;AR241,1,AS241+1)), "" )</f>
        <v/>
      </c>
      <c r="AT242" t="str">
        <f t="shared" ref="AT242:AT305" si="630">CONCATENATE( AU242,AV242,AW242,AX242,AY242,AZ242,BA242,BB242,BC242,BD242,BE242,BF242,BG242,BH242 )</f>
        <v/>
      </c>
      <c r="AU242" t="str">
        <f t="shared" si="614"/>
        <v/>
      </c>
      <c r="AV242" t="str">
        <f t="shared" si="615"/>
        <v/>
      </c>
      <c r="AW242" t="str">
        <f t="shared" si="616"/>
        <v/>
      </c>
      <c r="AX242" t="str">
        <f t="shared" si="617"/>
        <v/>
      </c>
      <c r="AY242" t="str">
        <f t="shared" si="618"/>
        <v/>
      </c>
      <c r="AZ242" t="str">
        <f t="shared" si="619"/>
        <v/>
      </c>
      <c r="BA242" t="str">
        <f t="shared" si="620"/>
        <v/>
      </c>
      <c r="BB242" t="str">
        <f t="shared" si="621"/>
        <v/>
      </c>
      <c r="BC242" t="str">
        <f t="shared" si="622"/>
        <v/>
      </c>
      <c r="BD242" t="str">
        <f t="shared" si="623"/>
        <v/>
      </c>
      <c r="BE242" t="str">
        <f t="shared" si="624"/>
        <v/>
      </c>
      <c r="BF242" t="str">
        <f t="shared" si="625"/>
        <v/>
      </c>
      <c r="BG242" t="str">
        <f t="shared" ref="BG242:BG305" si="631" xml:space="preserve"> IF( $AR242=BG$176, $AR242, "" )</f>
        <v/>
      </c>
      <c r="BH242" t="str">
        <f t="shared" si="626"/>
        <v/>
      </c>
      <c r="CJ242">
        <f t="shared" si="592"/>
        <v>66</v>
      </c>
      <c r="CK242" t="str">
        <f t="shared" si="627"/>
        <v/>
      </c>
      <c r="DL242"/>
      <c r="EC242" s="44"/>
    </row>
    <row r="243" spans="43:133">
      <c r="AQ243" t="str">
        <f t="shared" ref="AQ243:AQ306" si="632" xml:space="preserve"> IF( AQ242&lt;&gt;"", IF( AQ242&lt;$AR$175, AQ242+1, "" ), "" )</f>
        <v/>
      </c>
      <c r="AR243" t="str">
        <f t="shared" si="628"/>
        <v/>
      </c>
      <c r="AS243" t="str">
        <f t="shared" si="629"/>
        <v/>
      </c>
      <c r="AT243" t="str">
        <f t="shared" si="630"/>
        <v/>
      </c>
      <c r="AU243" t="str">
        <f t="shared" si="614"/>
        <v/>
      </c>
      <c r="AV243" t="str">
        <f t="shared" si="615"/>
        <v/>
      </c>
      <c r="AW243" t="str">
        <f t="shared" si="616"/>
        <v/>
      </c>
      <c r="AX243" t="str">
        <f t="shared" si="617"/>
        <v/>
      </c>
      <c r="AY243" t="str">
        <f t="shared" si="618"/>
        <v/>
      </c>
      <c r="AZ243" t="str">
        <f t="shared" si="619"/>
        <v/>
      </c>
      <c r="BA243" t="str">
        <f t="shared" si="620"/>
        <v/>
      </c>
      <c r="BB243" t="str">
        <f t="shared" si="621"/>
        <v/>
      </c>
      <c r="BC243" t="str">
        <f t="shared" si="622"/>
        <v/>
      </c>
      <c r="BD243" t="str">
        <f t="shared" si="623"/>
        <v/>
      </c>
      <c r="BE243" t="str">
        <f t="shared" si="624"/>
        <v/>
      </c>
      <c r="BF243" t="str">
        <f t="shared" si="625"/>
        <v/>
      </c>
      <c r="BG243" t="str">
        <f t="shared" si="631"/>
        <v/>
      </c>
      <c r="BH243" t="str">
        <f t="shared" si="626"/>
        <v/>
      </c>
      <c r="CJ243">
        <f t="shared" ref="CJ243:CJ251" si="633">CJ242+1</f>
        <v>67</v>
      </c>
      <c r="CK243" t="str">
        <f t="shared" si="627"/>
        <v/>
      </c>
      <c r="DL243"/>
      <c r="EC243" s="44"/>
    </row>
    <row r="244" spans="43:133">
      <c r="AQ244" t="str">
        <f t="shared" si="632"/>
        <v/>
      </c>
      <c r="AR244" t="str">
        <f t="shared" si="628"/>
        <v/>
      </c>
      <c r="AS244" t="str">
        <f t="shared" si="629"/>
        <v/>
      </c>
      <c r="AT244" t="str">
        <f t="shared" si="630"/>
        <v/>
      </c>
      <c r="AU244" t="str">
        <f t="shared" si="614"/>
        <v/>
      </c>
      <c r="AV244" t="str">
        <f t="shared" si="615"/>
        <v/>
      </c>
      <c r="AW244" t="str">
        <f t="shared" si="616"/>
        <v/>
      </c>
      <c r="AX244" t="str">
        <f t="shared" si="617"/>
        <v/>
      </c>
      <c r="AY244" t="str">
        <f t="shared" si="618"/>
        <v/>
      </c>
      <c r="AZ244" t="str">
        <f t="shared" si="619"/>
        <v/>
      </c>
      <c r="BA244" t="str">
        <f t="shared" si="620"/>
        <v/>
      </c>
      <c r="BB244" t="str">
        <f t="shared" si="621"/>
        <v/>
      </c>
      <c r="BC244" t="str">
        <f t="shared" si="622"/>
        <v/>
      </c>
      <c r="BD244" t="str">
        <f t="shared" si="623"/>
        <v/>
      </c>
      <c r="BE244" t="str">
        <f t="shared" si="624"/>
        <v/>
      </c>
      <c r="BF244" t="str">
        <f t="shared" si="625"/>
        <v/>
      </c>
      <c r="BG244" t="str">
        <f t="shared" si="631"/>
        <v/>
      </c>
      <c r="BH244" t="str">
        <f t="shared" si="626"/>
        <v/>
      </c>
      <c r="CJ244">
        <f t="shared" si="633"/>
        <v>68</v>
      </c>
      <c r="CK244" t="str">
        <f t="shared" si="627"/>
        <v/>
      </c>
      <c r="DL244"/>
      <c r="EC244" s="44"/>
    </row>
    <row r="245" spans="43:133">
      <c r="AQ245" t="str">
        <f t="shared" si="632"/>
        <v/>
      </c>
      <c r="AR245" t="str">
        <f t="shared" si="628"/>
        <v/>
      </c>
      <c r="AS245" t="str">
        <f t="shared" si="629"/>
        <v/>
      </c>
      <c r="AT245" t="str">
        <f t="shared" si="630"/>
        <v/>
      </c>
      <c r="AU245" t="str">
        <f t="shared" si="614"/>
        <v/>
      </c>
      <c r="AV245" t="str">
        <f t="shared" si="615"/>
        <v/>
      </c>
      <c r="AW245" t="str">
        <f t="shared" si="616"/>
        <v/>
      </c>
      <c r="AX245" t="str">
        <f t="shared" si="617"/>
        <v/>
      </c>
      <c r="AY245" t="str">
        <f t="shared" si="618"/>
        <v/>
      </c>
      <c r="AZ245" t="str">
        <f t="shared" si="619"/>
        <v/>
      </c>
      <c r="BA245" t="str">
        <f t="shared" si="620"/>
        <v/>
      </c>
      <c r="BB245" t="str">
        <f t="shared" si="621"/>
        <v/>
      </c>
      <c r="BC245" t="str">
        <f t="shared" si="622"/>
        <v/>
      </c>
      <c r="BD245" t="str">
        <f t="shared" si="623"/>
        <v/>
      </c>
      <c r="BE245" t="str">
        <f t="shared" si="624"/>
        <v/>
      </c>
      <c r="BF245" t="str">
        <f t="shared" si="625"/>
        <v/>
      </c>
      <c r="BG245" t="str">
        <f t="shared" si="631"/>
        <v/>
      </c>
      <c r="BH245" t="str">
        <f t="shared" si="626"/>
        <v/>
      </c>
      <c r="CJ245">
        <f t="shared" si="633"/>
        <v>69</v>
      </c>
      <c r="CK245" t="str">
        <f t="shared" si="627"/>
        <v/>
      </c>
      <c r="DL245"/>
      <c r="EC245" s="44"/>
    </row>
    <row r="246" spans="43:133">
      <c r="AQ246" t="str">
        <f t="shared" si="632"/>
        <v/>
      </c>
      <c r="AR246" t="str">
        <f t="shared" si="628"/>
        <v/>
      </c>
      <c r="AS246" t="str">
        <f t="shared" si="629"/>
        <v/>
      </c>
      <c r="AT246" t="str">
        <f t="shared" si="630"/>
        <v/>
      </c>
      <c r="AU246" t="str">
        <f t="shared" si="614"/>
        <v/>
      </c>
      <c r="AV246" t="str">
        <f t="shared" si="615"/>
        <v/>
      </c>
      <c r="AW246" t="str">
        <f t="shared" si="616"/>
        <v/>
      </c>
      <c r="AX246" t="str">
        <f t="shared" si="617"/>
        <v/>
      </c>
      <c r="AY246" t="str">
        <f t="shared" si="618"/>
        <v/>
      </c>
      <c r="AZ246" t="str">
        <f t="shared" si="619"/>
        <v/>
      </c>
      <c r="BA246" t="str">
        <f t="shared" si="620"/>
        <v/>
      </c>
      <c r="BB246" t="str">
        <f t="shared" si="621"/>
        <v/>
      </c>
      <c r="BC246" t="str">
        <f t="shared" si="622"/>
        <v/>
      </c>
      <c r="BD246" t="str">
        <f t="shared" si="623"/>
        <v/>
      </c>
      <c r="BE246" t="str">
        <f t="shared" si="624"/>
        <v/>
      </c>
      <c r="BF246" t="str">
        <f t="shared" si="625"/>
        <v/>
      </c>
      <c r="BG246" t="str">
        <f t="shared" si="631"/>
        <v/>
      </c>
      <c r="BH246" t="str">
        <f t="shared" si="626"/>
        <v/>
      </c>
      <c r="CJ246">
        <f t="shared" si="633"/>
        <v>70</v>
      </c>
      <c r="CK246" t="str">
        <f t="shared" si="627"/>
        <v/>
      </c>
      <c r="DL246"/>
      <c r="EC246" s="44"/>
    </row>
    <row r="247" spans="43:133">
      <c r="AQ247" t="str">
        <f t="shared" si="632"/>
        <v/>
      </c>
      <c r="AR247" t="str">
        <f t="shared" si="628"/>
        <v/>
      </c>
      <c r="AS247" t="str">
        <f t="shared" si="629"/>
        <v/>
      </c>
      <c r="AT247" t="str">
        <f t="shared" si="630"/>
        <v/>
      </c>
      <c r="AU247" t="str">
        <f t="shared" si="614"/>
        <v/>
      </c>
      <c r="AV247" t="str">
        <f t="shared" si="615"/>
        <v/>
      </c>
      <c r="AW247" t="str">
        <f t="shared" si="616"/>
        <v/>
      </c>
      <c r="AX247" t="str">
        <f t="shared" si="617"/>
        <v/>
      </c>
      <c r="AY247" t="str">
        <f t="shared" si="618"/>
        <v/>
      </c>
      <c r="AZ247" t="str">
        <f t="shared" si="619"/>
        <v/>
      </c>
      <c r="BA247" t="str">
        <f t="shared" si="620"/>
        <v/>
      </c>
      <c r="BB247" t="str">
        <f t="shared" si="621"/>
        <v/>
      </c>
      <c r="BC247" t="str">
        <f t="shared" si="622"/>
        <v/>
      </c>
      <c r="BD247" t="str">
        <f t="shared" si="623"/>
        <v/>
      </c>
      <c r="BE247" t="str">
        <f t="shared" si="624"/>
        <v/>
      </c>
      <c r="BF247" t="str">
        <f t="shared" si="625"/>
        <v/>
      </c>
      <c r="BG247" t="str">
        <f t="shared" si="631"/>
        <v/>
      </c>
      <c r="BH247" t="str">
        <f t="shared" si="626"/>
        <v/>
      </c>
      <c r="CJ247">
        <f t="shared" si="633"/>
        <v>71</v>
      </c>
      <c r="CK247" t="str">
        <f t="shared" si="627"/>
        <v/>
      </c>
      <c r="DL247"/>
      <c r="EC247" s="44"/>
    </row>
    <row r="248" spans="43:133">
      <c r="AQ248" t="str">
        <f t="shared" si="632"/>
        <v/>
      </c>
      <c r="AR248" t="str">
        <f t="shared" si="628"/>
        <v/>
      </c>
      <c r="AS248" t="str">
        <f t="shared" si="629"/>
        <v/>
      </c>
      <c r="AT248" t="str">
        <f t="shared" si="630"/>
        <v/>
      </c>
      <c r="AU248" t="str">
        <f t="shared" si="614"/>
        <v/>
      </c>
      <c r="AV248" t="str">
        <f t="shared" si="615"/>
        <v/>
      </c>
      <c r="AW248" t="str">
        <f t="shared" si="616"/>
        <v/>
      </c>
      <c r="AX248" t="str">
        <f t="shared" si="617"/>
        <v/>
      </c>
      <c r="AY248" t="str">
        <f t="shared" si="618"/>
        <v/>
      </c>
      <c r="AZ248" t="str">
        <f t="shared" si="619"/>
        <v/>
      </c>
      <c r="BA248" t="str">
        <f t="shared" si="620"/>
        <v/>
      </c>
      <c r="BB248" t="str">
        <f t="shared" si="621"/>
        <v/>
      </c>
      <c r="BC248" t="str">
        <f t="shared" si="622"/>
        <v/>
      </c>
      <c r="BD248" t="str">
        <f t="shared" si="623"/>
        <v/>
      </c>
      <c r="BE248" t="str">
        <f t="shared" si="624"/>
        <v/>
      </c>
      <c r="BF248" t="str">
        <f t="shared" si="625"/>
        <v/>
      </c>
      <c r="BG248" t="str">
        <f t="shared" si="631"/>
        <v/>
      </c>
      <c r="BH248" t="str">
        <f t="shared" si="626"/>
        <v/>
      </c>
      <c r="CJ248">
        <f t="shared" si="633"/>
        <v>72</v>
      </c>
      <c r="CK248" t="str">
        <f t="shared" si="627"/>
        <v/>
      </c>
      <c r="DL248"/>
      <c r="EC248" s="44"/>
    </row>
    <row r="249" spans="43:133">
      <c r="AQ249" t="str">
        <f t="shared" si="632"/>
        <v/>
      </c>
      <c r="AR249" t="str">
        <f t="shared" si="628"/>
        <v/>
      </c>
      <c r="AS249" t="str">
        <f t="shared" si="629"/>
        <v/>
      </c>
      <c r="AT249" t="str">
        <f t="shared" si="630"/>
        <v/>
      </c>
      <c r="AU249" t="str">
        <f t="shared" si="614"/>
        <v/>
      </c>
      <c r="AV249" t="str">
        <f t="shared" si="615"/>
        <v/>
      </c>
      <c r="AW249" t="str">
        <f t="shared" si="616"/>
        <v/>
      </c>
      <c r="AX249" t="str">
        <f t="shared" si="617"/>
        <v/>
      </c>
      <c r="AY249" t="str">
        <f t="shared" si="618"/>
        <v/>
      </c>
      <c r="AZ249" t="str">
        <f t="shared" si="619"/>
        <v/>
      </c>
      <c r="BA249" t="str">
        <f t="shared" si="620"/>
        <v/>
      </c>
      <c r="BB249" t="str">
        <f t="shared" si="621"/>
        <v/>
      </c>
      <c r="BC249" t="str">
        <f t="shared" si="622"/>
        <v/>
      </c>
      <c r="BD249" t="str">
        <f t="shared" si="623"/>
        <v/>
      </c>
      <c r="BE249" t="str">
        <f t="shared" si="624"/>
        <v/>
      </c>
      <c r="BF249" t="str">
        <f t="shared" si="625"/>
        <v/>
      </c>
      <c r="BG249" t="str">
        <f t="shared" si="631"/>
        <v/>
      </c>
      <c r="BH249" t="str">
        <f t="shared" si="626"/>
        <v/>
      </c>
      <c r="CJ249">
        <f t="shared" si="633"/>
        <v>73</v>
      </c>
      <c r="CK249" t="str">
        <f t="shared" si="627"/>
        <v/>
      </c>
      <c r="DL249"/>
      <c r="EC249" s="44"/>
    </row>
    <row r="250" spans="43:133">
      <c r="AQ250" t="str">
        <f t="shared" si="632"/>
        <v/>
      </c>
      <c r="AR250" t="str">
        <f t="shared" si="628"/>
        <v/>
      </c>
      <c r="AS250" t="str">
        <f t="shared" si="629"/>
        <v/>
      </c>
      <c r="AT250" t="str">
        <f t="shared" si="630"/>
        <v/>
      </c>
      <c r="AU250" t="str">
        <f t="shared" si="614"/>
        <v/>
      </c>
      <c r="AV250" t="str">
        <f t="shared" si="615"/>
        <v/>
      </c>
      <c r="AW250" t="str">
        <f t="shared" si="616"/>
        <v/>
      </c>
      <c r="AX250" t="str">
        <f t="shared" si="617"/>
        <v/>
      </c>
      <c r="AY250" t="str">
        <f t="shared" si="618"/>
        <v/>
      </c>
      <c r="AZ250" t="str">
        <f t="shared" si="619"/>
        <v/>
      </c>
      <c r="BA250" t="str">
        <f t="shared" si="620"/>
        <v/>
      </c>
      <c r="BB250" t="str">
        <f t="shared" si="621"/>
        <v/>
      </c>
      <c r="BC250" t="str">
        <f t="shared" si="622"/>
        <v/>
      </c>
      <c r="BD250" t="str">
        <f t="shared" si="623"/>
        <v/>
      </c>
      <c r="BE250" t="str">
        <f t="shared" si="624"/>
        <v/>
      </c>
      <c r="BF250" t="str">
        <f t="shared" si="625"/>
        <v/>
      </c>
      <c r="BG250" t="str">
        <f t="shared" si="631"/>
        <v/>
      </c>
      <c r="BH250" t="str">
        <f t="shared" si="626"/>
        <v/>
      </c>
      <c r="CJ250">
        <f t="shared" si="633"/>
        <v>74</v>
      </c>
      <c r="CK250" t="str">
        <f t="shared" si="627"/>
        <v/>
      </c>
      <c r="DL250"/>
      <c r="EC250" s="44"/>
    </row>
    <row r="251" spans="43:133">
      <c r="AQ251" t="str">
        <f t="shared" si="632"/>
        <v/>
      </c>
      <c r="AR251" t="str">
        <f t="shared" si="628"/>
        <v/>
      </c>
      <c r="AS251" t="str">
        <f t="shared" si="629"/>
        <v/>
      </c>
      <c r="AT251" t="str">
        <f t="shared" si="630"/>
        <v/>
      </c>
      <c r="AU251" t="str">
        <f t="shared" si="614"/>
        <v/>
      </c>
      <c r="AV251" t="str">
        <f t="shared" si="615"/>
        <v/>
      </c>
      <c r="AW251" t="str">
        <f t="shared" si="616"/>
        <v/>
      </c>
      <c r="AX251" t="str">
        <f t="shared" si="617"/>
        <v/>
      </c>
      <c r="AY251" t="str">
        <f t="shared" si="618"/>
        <v/>
      </c>
      <c r="AZ251" t="str">
        <f t="shared" si="619"/>
        <v/>
      </c>
      <c r="BA251" t="str">
        <f t="shared" si="620"/>
        <v/>
      </c>
      <c r="BB251" t="str">
        <f t="shared" si="621"/>
        <v/>
      </c>
      <c r="BC251" t="str">
        <f t="shared" si="622"/>
        <v/>
      </c>
      <c r="BD251" t="str">
        <f t="shared" si="623"/>
        <v/>
      </c>
      <c r="BE251" t="str">
        <f t="shared" si="624"/>
        <v/>
      </c>
      <c r="BF251" t="str">
        <f t="shared" si="625"/>
        <v/>
      </c>
      <c r="BG251" t="str">
        <f t="shared" si="631"/>
        <v/>
      </c>
      <c r="BH251" t="str">
        <f t="shared" si="626"/>
        <v/>
      </c>
      <c r="CJ251">
        <f t="shared" si="633"/>
        <v>75</v>
      </c>
      <c r="CK251" t="str">
        <f t="shared" si="627"/>
        <v/>
      </c>
      <c r="DL251"/>
      <c r="EC251" s="44"/>
    </row>
    <row r="252" spans="43:133">
      <c r="AQ252" t="str">
        <f t="shared" si="632"/>
        <v/>
      </c>
      <c r="AR252" t="str">
        <f t="shared" si="628"/>
        <v/>
      </c>
      <c r="AS252" t="str">
        <f t="shared" si="629"/>
        <v/>
      </c>
      <c r="AT252" t="str">
        <f t="shared" si="630"/>
        <v/>
      </c>
      <c r="AU252" t="str">
        <f t="shared" si="614"/>
        <v/>
      </c>
      <c r="AV252" t="str">
        <f t="shared" si="615"/>
        <v/>
      </c>
      <c r="AW252" t="str">
        <f t="shared" si="616"/>
        <v/>
      </c>
      <c r="AX252" t="str">
        <f t="shared" si="617"/>
        <v/>
      </c>
      <c r="AY252" t="str">
        <f t="shared" si="618"/>
        <v/>
      </c>
      <c r="AZ252" t="str">
        <f t="shared" si="619"/>
        <v/>
      </c>
      <c r="BA252" t="str">
        <f t="shared" si="620"/>
        <v/>
      </c>
      <c r="BB252" t="str">
        <f t="shared" si="621"/>
        <v/>
      </c>
      <c r="BC252" t="str">
        <f t="shared" si="622"/>
        <v/>
      </c>
      <c r="BD252" t="str">
        <f t="shared" si="623"/>
        <v/>
      </c>
      <c r="BE252" t="str">
        <f t="shared" si="624"/>
        <v/>
      </c>
      <c r="BF252" t="str">
        <f t="shared" si="625"/>
        <v/>
      </c>
      <c r="BG252" t="str">
        <f t="shared" si="631"/>
        <v/>
      </c>
      <c r="BH252" t="str">
        <f t="shared" si="626"/>
        <v/>
      </c>
    </row>
    <row r="253" spans="43:133">
      <c r="AQ253" t="str">
        <f t="shared" si="632"/>
        <v/>
      </c>
      <c r="AR253" t="str">
        <f t="shared" si="628"/>
        <v/>
      </c>
      <c r="AS253" t="str">
        <f t="shared" si="629"/>
        <v/>
      </c>
      <c r="AT253" t="str">
        <f t="shared" si="630"/>
        <v/>
      </c>
      <c r="AU253" t="str">
        <f t="shared" si="614"/>
        <v/>
      </c>
      <c r="AV253" t="str">
        <f t="shared" si="615"/>
        <v/>
      </c>
      <c r="AW253" t="str">
        <f t="shared" si="616"/>
        <v/>
      </c>
      <c r="AX253" t="str">
        <f t="shared" si="617"/>
        <v/>
      </c>
      <c r="AY253" t="str">
        <f t="shared" si="618"/>
        <v/>
      </c>
      <c r="AZ253" t="str">
        <f t="shared" si="619"/>
        <v/>
      </c>
      <c r="BA253" t="str">
        <f t="shared" si="620"/>
        <v/>
      </c>
      <c r="BB253" t="str">
        <f t="shared" si="621"/>
        <v/>
      </c>
      <c r="BC253" t="str">
        <f t="shared" si="622"/>
        <v/>
      </c>
      <c r="BD253" t="str">
        <f t="shared" si="623"/>
        <v/>
      </c>
      <c r="BE253" t="str">
        <f t="shared" si="624"/>
        <v/>
      </c>
      <c r="BF253" t="str">
        <f t="shared" si="625"/>
        <v/>
      </c>
      <c r="BG253" t="str">
        <f t="shared" si="631"/>
        <v/>
      </c>
      <c r="BH253" t="str">
        <f t="shared" si="626"/>
        <v/>
      </c>
    </row>
    <row r="254" spans="43:133">
      <c r="AQ254" t="str">
        <f t="shared" si="632"/>
        <v/>
      </c>
      <c r="AR254" t="str">
        <f t="shared" si="628"/>
        <v/>
      </c>
      <c r="AS254" t="str">
        <f t="shared" si="629"/>
        <v/>
      </c>
      <c r="AT254" t="str">
        <f t="shared" si="630"/>
        <v/>
      </c>
      <c r="AU254" t="str">
        <f t="shared" si="614"/>
        <v/>
      </c>
      <c r="AV254" t="str">
        <f t="shared" si="615"/>
        <v/>
      </c>
      <c r="AW254" t="str">
        <f t="shared" si="616"/>
        <v/>
      </c>
      <c r="AX254" t="str">
        <f t="shared" si="617"/>
        <v/>
      </c>
      <c r="AY254" t="str">
        <f t="shared" si="618"/>
        <v/>
      </c>
      <c r="AZ254" t="str">
        <f t="shared" si="619"/>
        <v/>
      </c>
      <c r="BA254" t="str">
        <f t="shared" si="620"/>
        <v/>
      </c>
      <c r="BB254" t="str">
        <f t="shared" si="621"/>
        <v/>
      </c>
      <c r="BC254" t="str">
        <f t="shared" si="622"/>
        <v/>
      </c>
      <c r="BD254" t="str">
        <f t="shared" si="623"/>
        <v/>
      </c>
      <c r="BE254" t="str">
        <f t="shared" si="624"/>
        <v/>
      </c>
      <c r="BF254" t="str">
        <f t="shared" si="625"/>
        <v/>
      </c>
      <c r="BG254" t="str">
        <f t="shared" si="631"/>
        <v/>
      </c>
      <c r="BH254" t="str">
        <f t="shared" si="626"/>
        <v/>
      </c>
    </row>
    <row r="255" spans="43:133">
      <c r="AQ255" t="str">
        <f t="shared" si="632"/>
        <v/>
      </c>
      <c r="AR255" t="str">
        <f t="shared" si="628"/>
        <v/>
      </c>
      <c r="AS255" t="str">
        <f t="shared" si="629"/>
        <v/>
      </c>
      <c r="AT255" t="str">
        <f t="shared" si="630"/>
        <v/>
      </c>
      <c r="AU255" t="str">
        <f t="shared" si="614"/>
        <v/>
      </c>
      <c r="AV255" t="str">
        <f t="shared" si="615"/>
        <v/>
      </c>
      <c r="AW255" t="str">
        <f t="shared" si="616"/>
        <v/>
      </c>
      <c r="AX255" t="str">
        <f t="shared" si="617"/>
        <v/>
      </c>
      <c r="AY255" t="str">
        <f t="shared" si="618"/>
        <v/>
      </c>
      <c r="AZ255" t="str">
        <f t="shared" si="619"/>
        <v/>
      </c>
      <c r="BA255" t="str">
        <f t="shared" si="620"/>
        <v/>
      </c>
      <c r="BB255" t="str">
        <f t="shared" si="621"/>
        <v/>
      </c>
      <c r="BC255" t="str">
        <f t="shared" si="622"/>
        <v/>
      </c>
      <c r="BD255" t="str">
        <f t="shared" si="623"/>
        <v/>
      </c>
      <c r="BE255" t="str">
        <f t="shared" si="624"/>
        <v/>
      </c>
      <c r="BF255" t="str">
        <f t="shared" si="625"/>
        <v/>
      </c>
      <c r="BG255" t="str">
        <f t="shared" si="631"/>
        <v/>
      </c>
      <c r="BH255" t="str">
        <f t="shared" si="626"/>
        <v/>
      </c>
    </row>
    <row r="256" spans="43:133">
      <c r="AQ256" t="str">
        <f t="shared" si="632"/>
        <v/>
      </c>
      <c r="AR256" t="str">
        <f t="shared" si="628"/>
        <v/>
      </c>
      <c r="AS256" t="str">
        <f t="shared" si="629"/>
        <v/>
      </c>
      <c r="AT256" t="str">
        <f t="shared" si="630"/>
        <v/>
      </c>
      <c r="AU256" t="str">
        <f t="shared" si="614"/>
        <v/>
      </c>
      <c r="AV256" t="str">
        <f t="shared" si="615"/>
        <v/>
      </c>
      <c r="AW256" t="str">
        <f t="shared" si="616"/>
        <v/>
      </c>
      <c r="AX256" t="str">
        <f t="shared" si="617"/>
        <v/>
      </c>
      <c r="AY256" t="str">
        <f t="shared" si="618"/>
        <v/>
      </c>
      <c r="AZ256" t="str">
        <f t="shared" si="619"/>
        <v/>
      </c>
      <c r="BA256" t="str">
        <f t="shared" si="620"/>
        <v/>
      </c>
      <c r="BB256" t="str">
        <f t="shared" si="621"/>
        <v/>
      </c>
      <c r="BC256" t="str">
        <f t="shared" si="622"/>
        <v/>
      </c>
      <c r="BD256" t="str">
        <f t="shared" si="623"/>
        <v/>
      </c>
      <c r="BE256" t="str">
        <f t="shared" si="624"/>
        <v/>
      </c>
      <c r="BF256" t="str">
        <f t="shared" si="625"/>
        <v/>
      </c>
      <c r="BG256" t="str">
        <f t="shared" si="631"/>
        <v/>
      </c>
      <c r="BH256" t="str">
        <f t="shared" si="626"/>
        <v/>
      </c>
    </row>
    <row r="257" spans="43:60">
      <c r="AQ257" t="str">
        <f t="shared" si="632"/>
        <v/>
      </c>
      <c r="AR257" t="str">
        <f t="shared" si="628"/>
        <v/>
      </c>
      <c r="AS257" t="str">
        <f t="shared" si="629"/>
        <v/>
      </c>
      <c r="AT257" t="str">
        <f t="shared" si="630"/>
        <v/>
      </c>
      <c r="AU257" t="str">
        <f t="shared" si="614"/>
        <v/>
      </c>
      <c r="AV257" t="str">
        <f t="shared" si="615"/>
        <v/>
      </c>
      <c r="AW257" t="str">
        <f t="shared" si="616"/>
        <v/>
      </c>
      <c r="AX257" t="str">
        <f t="shared" si="617"/>
        <v/>
      </c>
      <c r="AY257" t="str">
        <f t="shared" si="618"/>
        <v/>
      </c>
      <c r="AZ257" t="str">
        <f t="shared" si="619"/>
        <v/>
      </c>
      <c r="BA257" t="str">
        <f t="shared" si="620"/>
        <v/>
      </c>
      <c r="BB257" t="str">
        <f t="shared" si="621"/>
        <v/>
      </c>
      <c r="BC257" t="str">
        <f t="shared" si="622"/>
        <v/>
      </c>
      <c r="BD257" t="str">
        <f t="shared" si="623"/>
        <v/>
      </c>
      <c r="BE257" t="str">
        <f t="shared" si="624"/>
        <v/>
      </c>
      <c r="BF257" t="str">
        <f t="shared" si="625"/>
        <v/>
      </c>
      <c r="BG257" t="str">
        <f t="shared" si="631"/>
        <v/>
      </c>
      <c r="BH257" t="str">
        <f t="shared" si="626"/>
        <v/>
      </c>
    </row>
    <row r="258" spans="43:60">
      <c r="AQ258" t="str">
        <f t="shared" si="632"/>
        <v/>
      </c>
      <c r="AR258" t="str">
        <f t="shared" si="628"/>
        <v/>
      </c>
      <c r="AS258" t="str">
        <f t="shared" si="629"/>
        <v/>
      </c>
      <c r="AT258" t="str">
        <f t="shared" si="630"/>
        <v/>
      </c>
      <c r="AU258" t="str">
        <f t="shared" si="614"/>
        <v/>
      </c>
      <c r="AV258" t="str">
        <f t="shared" si="615"/>
        <v/>
      </c>
      <c r="AW258" t="str">
        <f t="shared" si="616"/>
        <v/>
      </c>
      <c r="AX258" t="str">
        <f t="shared" si="617"/>
        <v/>
      </c>
      <c r="AY258" t="str">
        <f t="shared" si="618"/>
        <v/>
      </c>
      <c r="AZ258" t="str">
        <f t="shared" si="619"/>
        <v/>
      </c>
      <c r="BA258" t="str">
        <f t="shared" si="620"/>
        <v/>
      </c>
      <c r="BB258" t="str">
        <f t="shared" si="621"/>
        <v/>
      </c>
      <c r="BC258" t="str">
        <f t="shared" si="622"/>
        <v/>
      </c>
      <c r="BD258" t="str">
        <f t="shared" si="623"/>
        <v/>
      </c>
      <c r="BE258" t="str">
        <f t="shared" si="624"/>
        <v/>
      </c>
      <c r="BF258" t="str">
        <f t="shared" si="625"/>
        <v/>
      </c>
      <c r="BG258" t="str">
        <f t="shared" si="631"/>
        <v/>
      </c>
      <c r="BH258" t="str">
        <f t="shared" si="626"/>
        <v/>
      </c>
    </row>
    <row r="259" spans="43:60">
      <c r="AQ259" t="str">
        <f t="shared" si="632"/>
        <v/>
      </c>
      <c r="AR259" t="str">
        <f t="shared" si="628"/>
        <v/>
      </c>
      <c r="AS259" t="str">
        <f t="shared" si="629"/>
        <v/>
      </c>
      <c r="AT259" t="str">
        <f t="shared" si="630"/>
        <v/>
      </c>
      <c r="AU259" t="str">
        <f t="shared" si="614"/>
        <v/>
      </c>
      <c r="AV259" t="str">
        <f t="shared" si="615"/>
        <v/>
      </c>
      <c r="AW259" t="str">
        <f t="shared" si="616"/>
        <v/>
      </c>
      <c r="AX259" t="str">
        <f t="shared" si="617"/>
        <v/>
      </c>
      <c r="AY259" t="str">
        <f t="shared" si="618"/>
        <v/>
      </c>
      <c r="AZ259" t="str">
        <f t="shared" si="619"/>
        <v/>
      </c>
      <c r="BA259" t="str">
        <f t="shared" si="620"/>
        <v/>
      </c>
      <c r="BB259" t="str">
        <f t="shared" si="621"/>
        <v/>
      </c>
      <c r="BC259" t="str">
        <f t="shared" si="622"/>
        <v/>
      </c>
      <c r="BD259" t="str">
        <f t="shared" si="623"/>
        <v/>
      </c>
      <c r="BE259" t="str">
        <f t="shared" si="624"/>
        <v/>
      </c>
      <c r="BF259" t="str">
        <f t="shared" si="625"/>
        <v/>
      </c>
      <c r="BG259" t="str">
        <f t="shared" si="631"/>
        <v/>
      </c>
      <c r="BH259" t="str">
        <f t="shared" si="626"/>
        <v/>
      </c>
    </row>
    <row r="260" spans="43:60">
      <c r="AQ260" t="str">
        <f t="shared" si="632"/>
        <v/>
      </c>
      <c r="AR260" t="str">
        <f t="shared" si="628"/>
        <v/>
      </c>
      <c r="AS260" t="str">
        <f t="shared" si="629"/>
        <v/>
      </c>
      <c r="AT260" t="str">
        <f t="shared" si="630"/>
        <v/>
      </c>
      <c r="AU260" t="str">
        <f t="shared" si="614"/>
        <v/>
      </c>
      <c r="AV260" t="str">
        <f t="shared" si="615"/>
        <v/>
      </c>
      <c r="AW260" t="str">
        <f t="shared" si="616"/>
        <v/>
      </c>
      <c r="AX260" t="str">
        <f t="shared" si="617"/>
        <v/>
      </c>
      <c r="AY260" t="str">
        <f t="shared" si="618"/>
        <v/>
      </c>
      <c r="AZ260" t="str">
        <f t="shared" si="619"/>
        <v/>
      </c>
      <c r="BA260" t="str">
        <f t="shared" si="620"/>
        <v/>
      </c>
      <c r="BB260" t="str">
        <f t="shared" si="621"/>
        <v/>
      </c>
      <c r="BC260" t="str">
        <f t="shared" si="622"/>
        <v/>
      </c>
      <c r="BD260" t="str">
        <f t="shared" si="623"/>
        <v/>
      </c>
      <c r="BE260" t="str">
        <f t="shared" si="624"/>
        <v/>
      </c>
      <c r="BF260" t="str">
        <f t="shared" si="625"/>
        <v/>
      </c>
      <c r="BG260" t="str">
        <f t="shared" si="631"/>
        <v/>
      </c>
      <c r="BH260" t="str">
        <f t="shared" si="626"/>
        <v/>
      </c>
    </row>
    <row r="261" spans="43:60">
      <c r="AQ261" t="str">
        <f t="shared" si="632"/>
        <v/>
      </c>
      <c r="AR261" t="str">
        <f t="shared" si="628"/>
        <v/>
      </c>
      <c r="AS261" t="str">
        <f t="shared" si="629"/>
        <v/>
      </c>
      <c r="AT261" t="str">
        <f t="shared" si="630"/>
        <v/>
      </c>
      <c r="AU261" t="str">
        <f t="shared" si="614"/>
        <v/>
      </c>
      <c r="AV261" t="str">
        <f t="shared" si="615"/>
        <v/>
      </c>
      <c r="AW261" t="str">
        <f t="shared" si="616"/>
        <v/>
      </c>
      <c r="AX261" t="str">
        <f t="shared" si="617"/>
        <v/>
      </c>
      <c r="AY261" t="str">
        <f t="shared" si="618"/>
        <v/>
      </c>
      <c r="AZ261" t="str">
        <f t="shared" si="619"/>
        <v/>
      </c>
      <c r="BA261" t="str">
        <f t="shared" si="620"/>
        <v/>
      </c>
      <c r="BB261" t="str">
        <f t="shared" si="621"/>
        <v/>
      </c>
      <c r="BC261" t="str">
        <f t="shared" si="622"/>
        <v/>
      </c>
      <c r="BD261" t="str">
        <f t="shared" si="623"/>
        <v/>
      </c>
      <c r="BE261" t="str">
        <f t="shared" si="624"/>
        <v/>
      </c>
      <c r="BF261" t="str">
        <f t="shared" si="625"/>
        <v/>
      </c>
      <c r="BG261" t="str">
        <f t="shared" si="631"/>
        <v/>
      </c>
      <c r="BH261" t="str">
        <f t="shared" si="626"/>
        <v/>
      </c>
    </row>
    <row r="262" spans="43:60">
      <c r="AQ262" t="str">
        <f t="shared" si="632"/>
        <v/>
      </c>
      <c r="AR262" t="str">
        <f t="shared" si="628"/>
        <v/>
      </c>
      <c r="AS262" t="str">
        <f t="shared" si="629"/>
        <v/>
      </c>
      <c r="AT262" t="str">
        <f t="shared" si="630"/>
        <v/>
      </c>
      <c r="AU262" t="str">
        <f t="shared" si="614"/>
        <v/>
      </c>
      <c r="AV262" t="str">
        <f t="shared" si="615"/>
        <v/>
      </c>
      <c r="AW262" t="str">
        <f t="shared" si="616"/>
        <v/>
      </c>
      <c r="AX262" t="str">
        <f t="shared" si="617"/>
        <v/>
      </c>
      <c r="AY262" t="str">
        <f t="shared" si="618"/>
        <v/>
      </c>
      <c r="AZ262" t="str">
        <f t="shared" si="619"/>
        <v/>
      </c>
      <c r="BA262" t="str">
        <f t="shared" si="620"/>
        <v/>
      </c>
      <c r="BB262" t="str">
        <f t="shared" si="621"/>
        <v/>
      </c>
      <c r="BC262" t="str">
        <f t="shared" si="622"/>
        <v/>
      </c>
      <c r="BD262" t="str">
        <f t="shared" si="623"/>
        <v/>
      </c>
      <c r="BE262" t="str">
        <f t="shared" si="624"/>
        <v/>
      </c>
      <c r="BF262" t="str">
        <f t="shared" si="625"/>
        <v/>
      </c>
      <c r="BG262" t="str">
        <f t="shared" si="631"/>
        <v/>
      </c>
      <c r="BH262" t="str">
        <f t="shared" si="626"/>
        <v/>
      </c>
    </row>
    <row r="263" spans="43:60">
      <c r="AQ263" t="str">
        <f t="shared" si="632"/>
        <v/>
      </c>
      <c r="AR263" t="str">
        <f t="shared" si="628"/>
        <v/>
      </c>
      <c r="AS263" t="str">
        <f t="shared" si="629"/>
        <v/>
      </c>
      <c r="AT263" t="str">
        <f t="shared" si="630"/>
        <v/>
      </c>
      <c r="AU263" t="str">
        <f t="shared" si="614"/>
        <v/>
      </c>
      <c r="AV263" t="str">
        <f t="shared" si="615"/>
        <v/>
      </c>
      <c r="AW263" t="str">
        <f t="shared" si="616"/>
        <v/>
      </c>
      <c r="AX263" t="str">
        <f t="shared" si="617"/>
        <v/>
      </c>
      <c r="AY263" t="str">
        <f t="shared" si="618"/>
        <v/>
      </c>
      <c r="AZ263" t="str">
        <f t="shared" si="619"/>
        <v/>
      </c>
      <c r="BA263" t="str">
        <f t="shared" si="620"/>
        <v/>
      </c>
      <c r="BB263" t="str">
        <f t="shared" si="621"/>
        <v/>
      </c>
      <c r="BC263" t="str">
        <f t="shared" si="622"/>
        <v/>
      </c>
      <c r="BD263" t="str">
        <f t="shared" si="623"/>
        <v/>
      </c>
      <c r="BE263" t="str">
        <f t="shared" si="624"/>
        <v/>
      </c>
      <c r="BF263" t="str">
        <f t="shared" si="625"/>
        <v/>
      </c>
      <c r="BG263" t="str">
        <f t="shared" si="631"/>
        <v/>
      </c>
      <c r="BH263" t="str">
        <f t="shared" si="626"/>
        <v/>
      </c>
    </row>
    <row r="264" spans="43:60">
      <c r="AQ264" t="str">
        <f t="shared" si="632"/>
        <v/>
      </c>
      <c r="AR264" t="str">
        <f t="shared" si="628"/>
        <v/>
      </c>
      <c r="AS264" t="str">
        <f t="shared" si="629"/>
        <v/>
      </c>
      <c r="AT264" t="str">
        <f t="shared" si="630"/>
        <v/>
      </c>
      <c r="AU264" t="str">
        <f t="shared" si="614"/>
        <v/>
      </c>
      <c r="AV264" t="str">
        <f t="shared" si="615"/>
        <v/>
      </c>
      <c r="AW264" t="str">
        <f t="shared" si="616"/>
        <v/>
      </c>
      <c r="AX264" t="str">
        <f t="shared" si="617"/>
        <v/>
      </c>
      <c r="AY264" t="str">
        <f t="shared" si="618"/>
        <v/>
      </c>
      <c r="AZ264" t="str">
        <f t="shared" si="619"/>
        <v/>
      </c>
      <c r="BA264" t="str">
        <f t="shared" si="620"/>
        <v/>
      </c>
      <c r="BB264" t="str">
        <f t="shared" si="621"/>
        <v/>
      </c>
      <c r="BC264" t="str">
        <f t="shared" si="622"/>
        <v/>
      </c>
      <c r="BD264" t="str">
        <f t="shared" si="623"/>
        <v/>
      </c>
      <c r="BE264" t="str">
        <f t="shared" si="624"/>
        <v/>
      </c>
      <c r="BF264" t="str">
        <f t="shared" si="625"/>
        <v/>
      </c>
      <c r="BG264" t="str">
        <f t="shared" si="631"/>
        <v/>
      </c>
      <c r="BH264" t="str">
        <f t="shared" si="626"/>
        <v/>
      </c>
    </row>
    <row r="265" spans="43:60">
      <c r="AQ265" t="str">
        <f t="shared" si="632"/>
        <v/>
      </c>
      <c r="AR265" t="str">
        <f t="shared" si="628"/>
        <v/>
      </c>
      <c r="AS265" t="str">
        <f t="shared" si="629"/>
        <v/>
      </c>
      <c r="AT265" t="str">
        <f t="shared" si="630"/>
        <v/>
      </c>
      <c r="AU265" t="str">
        <f t="shared" si="614"/>
        <v/>
      </c>
      <c r="AV265" t="str">
        <f t="shared" si="615"/>
        <v/>
      </c>
      <c r="AW265" t="str">
        <f t="shared" si="616"/>
        <v/>
      </c>
      <c r="AX265" t="str">
        <f t="shared" si="617"/>
        <v/>
      </c>
      <c r="AY265" t="str">
        <f t="shared" si="618"/>
        <v/>
      </c>
      <c r="AZ265" t="str">
        <f t="shared" si="619"/>
        <v/>
      </c>
      <c r="BA265" t="str">
        <f t="shared" si="620"/>
        <v/>
      </c>
      <c r="BB265" t="str">
        <f t="shared" si="621"/>
        <v/>
      </c>
      <c r="BC265" t="str">
        <f t="shared" si="622"/>
        <v/>
      </c>
      <c r="BD265" t="str">
        <f t="shared" si="623"/>
        <v/>
      </c>
      <c r="BE265" t="str">
        <f t="shared" si="624"/>
        <v/>
      </c>
      <c r="BF265" t="str">
        <f t="shared" si="625"/>
        <v/>
      </c>
      <c r="BG265" t="str">
        <f t="shared" si="631"/>
        <v/>
      </c>
      <c r="BH265" t="str">
        <f t="shared" si="626"/>
        <v/>
      </c>
    </row>
    <row r="266" spans="43:60">
      <c r="AQ266" t="str">
        <f t="shared" si="632"/>
        <v/>
      </c>
      <c r="AR266" t="str">
        <f t="shared" si="628"/>
        <v/>
      </c>
      <c r="AS266" t="str">
        <f t="shared" si="629"/>
        <v/>
      </c>
      <c r="AT266" t="str">
        <f t="shared" si="630"/>
        <v/>
      </c>
      <c r="AU266" t="str">
        <f t="shared" si="614"/>
        <v/>
      </c>
      <c r="AV266" t="str">
        <f t="shared" si="615"/>
        <v/>
      </c>
      <c r="AW266" t="str">
        <f t="shared" si="616"/>
        <v/>
      </c>
      <c r="AX266" t="str">
        <f t="shared" si="617"/>
        <v/>
      </c>
      <c r="AY266" t="str">
        <f t="shared" si="618"/>
        <v/>
      </c>
      <c r="AZ266" t="str">
        <f t="shared" si="619"/>
        <v/>
      </c>
      <c r="BA266" t="str">
        <f t="shared" si="620"/>
        <v/>
      </c>
      <c r="BB266" t="str">
        <f t="shared" si="621"/>
        <v/>
      </c>
      <c r="BC266" t="str">
        <f t="shared" si="622"/>
        <v/>
      </c>
      <c r="BD266" t="str">
        <f t="shared" si="623"/>
        <v/>
      </c>
      <c r="BE266" t="str">
        <f t="shared" si="624"/>
        <v/>
      </c>
      <c r="BF266" t="str">
        <f t="shared" si="625"/>
        <v/>
      </c>
      <c r="BG266" t="str">
        <f t="shared" si="631"/>
        <v/>
      </c>
      <c r="BH266" t="str">
        <f t="shared" si="626"/>
        <v/>
      </c>
    </row>
    <row r="267" spans="43:60">
      <c r="AQ267" t="str">
        <f t="shared" si="632"/>
        <v/>
      </c>
      <c r="AR267" t="str">
        <f t="shared" si="628"/>
        <v/>
      </c>
      <c r="AS267" t="str">
        <f t="shared" si="629"/>
        <v/>
      </c>
      <c r="AT267" t="str">
        <f t="shared" si="630"/>
        <v/>
      </c>
      <c r="AU267" t="str">
        <f t="shared" si="614"/>
        <v/>
      </c>
      <c r="AV267" t="str">
        <f t="shared" si="615"/>
        <v/>
      </c>
      <c r="AW267" t="str">
        <f t="shared" si="616"/>
        <v/>
      </c>
      <c r="AX267" t="str">
        <f t="shared" si="617"/>
        <v/>
      </c>
      <c r="AY267" t="str">
        <f t="shared" si="618"/>
        <v/>
      </c>
      <c r="AZ267" t="str">
        <f t="shared" si="619"/>
        <v/>
      </c>
      <c r="BA267" t="str">
        <f t="shared" si="620"/>
        <v/>
      </c>
      <c r="BB267" t="str">
        <f t="shared" si="621"/>
        <v/>
      </c>
      <c r="BC267" t="str">
        <f t="shared" si="622"/>
        <v/>
      </c>
      <c r="BD267" t="str">
        <f t="shared" si="623"/>
        <v/>
      </c>
      <c r="BE267" t="str">
        <f t="shared" si="624"/>
        <v/>
      </c>
      <c r="BF267" t="str">
        <f t="shared" si="625"/>
        <v/>
      </c>
      <c r="BG267" t="str">
        <f t="shared" si="631"/>
        <v/>
      </c>
      <c r="BH267" t="str">
        <f t="shared" si="626"/>
        <v/>
      </c>
    </row>
    <row r="268" spans="43:60">
      <c r="AQ268" t="str">
        <f t="shared" si="632"/>
        <v/>
      </c>
      <c r="AR268" t="str">
        <f t="shared" si="628"/>
        <v/>
      </c>
      <c r="AS268" t="str">
        <f t="shared" si="629"/>
        <v/>
      </c>
      <c r="AT268" t="str">
        <f t="shared" si="630"/>
        <v/>
      </c>
      <c r="AU268" t="str">
        <f t="shared" si="614"/>
        <v/>
      </c>
      <c r="AV268" t="str">
        <f t="shared" si="615"/>
        <v/>
      </c>
      <c r="AW268" t="str">
        <f t="shared" si="616"/>
        <v/>
      </c>
      <c r="AX268" t="str">
        <f t="shared" si="617"/>
        <v/>
      </c>
      <c r="AY268" t="str">
        <f t="shared" si="618"/>
        <v/>
      </c>
      <c r="AZ268" t="str">
        <f t="shared" si="619"/>
        <v/>
      </c>
      <c r="BA268" t="str">
        <f t="shared" si="620"/>
        <v/>
      </c>
      <c r="BB268" t="str">
        <f t="shared" si="621"/>
        <v/>
      </c>
      <c r="BC268" t="str">
        <f t="shared" si="622"/>
        <v/>
      </c>
      <c r="BD268" t="str">
        <f t="shared" si="623"/>
        <v/>
      </c>
      <c r="BE268" t="str">
        <f t="shared" si="624"/>
        <v/>
      </c>
      <c r="BF268" t="str">
        <f t="shared" si="625"/>
        <v/>
      </c>
      <c r="BG268" t="str">
        <f t="shared" si="631"/>
        <v/>
      </c>
      <c r="BH268" t="str">
        <f t="shared" si="626"/>
        <v/>
      </c>
    </row>
    <row r="269" spans="43:60">
      <c r="AQ269" t="str">
        <f t="shared" si="632"/>
        <v/>
      </c>
      <c r="AR269" t="str">
        <f t="shared" si="628"/>
        <v/>
      </c>
      <c r="AS269" t="str">
        <f t="shared" si="629"/>
        <v/>
      </c>
      <c r="AT269" t="str">
        <f t="shared" si="630"/>
        <v/>
      </c>
      <c r="AU269" t="str">
        <f t="shared" si="614"/>
        <v/>
      </c>
      <c r="AV269" t="str">
        <f t="shared" si="615"/>
        <v/>
      </c>
      <c r="AW269" t="str">
        <f t="shared" si="616"/>
        <v/>
      </c>
      <c r="AX269" t="str">
        <f t="shared" si="617"/>
        <v/>
      </c>
      <c r="AY269" t="str">
        <f t="shared" si="618"/>
        <v/>
      </c>
      <c r="AZ269" t="str">
        <f t="shared" si="619"/>
        <v/>
      </c>
      <c r="BA269" t="str">
        <f t="shared" si="620"/>
        <v/>
      </c>
      <c r="BB269" t="str">
        <f t="shared" si="621"/>
        <v/>
      </c>
      <c r="BC269" t="str">
        <f t="shared" si="622"/>
        <v/>
      </c>
      <c r="BD269" t="str">
        <f t="shared" si="623"/>
        <v/>
      </c>
      <c r="BE269" t="str">
        <f t="shared" si="624"/>
        <v/>
      </c>
      <c r="BF269" t="str">
        <f t="shared" si="625"/>
        <v/>
      </c>
      <c r="BG269" t="str">
        <f t="shared" si="631"/>
        <v/>
      </c>
      <c r="BH269" t="str">
        <f t="shared" si="626"/>
        <v/>
      </c>
    </row>
    <row r="270" spans="43:60">
      <c r="AQ270" t="str">
        <f t="shared" si="632"/>
        <v/>
      </c>
      <c r="AR270" t="str">
        <f t="shared" si="628"/>
        <v/>
      </c>
      <c r="AS270" t="str">
        <f t="shared" si="629"/>
        <v/>
      </c>
      <c r="AT270" t="str">
        <f t="shared" si="630"/>
        <v/>
      </c>
      <c r="AU270" t="str">
        <f t="shared" si="614"/>
        <v/>
      </c>
      <c r="AV270" t="str">
        <f t="shared" si="615"/>
        <v/>
      </c>
      <c r="AW270" t="str">
        <f t="shared" si="616"/>
        <v/>
      </c>
      <c r="AX270" t="str">
        <f t="shared" si="617"/>
        <v/>
      </c>
      <c r="AY270" t="str">
        <f t="shared" si="618"/>
        <v/>
      </c>
      <c r="AZ270" t="str">
        <f t="shared" si="619"/>
        <v/>
      </c>
      <c r="BA270" t="str">
        <f t="shared" si="620"/>
        <v/>
      </c>
      <c r="BB270" t="str">
        <f t="shared" si="621"/>
        <v/>
      </c>
      <c r="BC270" t="str">
        <f t="shared" si="622"/>
        <v/>
      </c>
      <c r="BD270" t="str">
        <f t="shared" si="623"/>
        <v/>
      </c>
      <c r="BE270" t="str">
        <f t="shared" si="624"/>
        <v/>
      </c>
      <c r="BF270" t="str">
        <f t="shared" si="625"/>
        <v/>
      </c>
      <c r="BG270" t="str">
        <f t="shared" si="631"/>
        <v/>
      </c>
      <c r="BH270" t="str">
        <f t="shared" si="626"/>
        <v/>
      </c>
    </row>
    <row r="271" spans="43:60">
      <c r="AQ271" t="str">
        <f t="shared" si="632"/>
        <v/>
      </c>
      <c r="AR271" t="str">
        <f t="shared" si="628"/>
        <v/>
      </c>
      <c r="AS271" t="str">
        <f t="shared" si="629"/>
        <v/>
      </c>
      <c r="AT271" t="str">
        <f t="shared" si="630"/>
        <v/>
      </c>
      <c r="AU271" t="str">
        <f t="shared" si="614"/>
        <v/>
      </c>
      <c r="AV271" t="str">
        <f t="shared" si="615"/>
        <v/>
      </c>
      <c r="AW271" t="str">
        <f t="shared" si="616"/>
        <v/>
      </c>
      <c r="AX271" t="str">
        <f t="shared" si="617"/>
        <v/>
      </c>
      <c r="AY271" t="str">
        <f t="shared" si="618"/>
        <v/>
      </c>
      <c r="AZ271" t="str">
        <f t="shared" si="619"/>
        <v/>
      </c>
      <c r="BA271" t="str">
        <f t="shared" si="620"/>
        <v/>
      </c>
      <c r="BB271" t="str">
        <f t="shared" si="621"/>
        <v/>
      </c>
      <c r="BC271" t="str">
        <f t="shared" si="622"/>
        <v/>
      </c>
      <c r="BD271" t="str">
        <f t="shared" si="623"/>
        <v/>
      </c>
      <c r="BE271" t="str">
        <f t="shared" si="624"/>
        <v/>
      </c>
      <c r="BF271" t="str">
        <f t="shared" si="625"/>
        <v/>
      </c>
      <c r="BG271" t="str">
        <f t="shared" si="631"/>
        <v/>
      </c>
      <c r="BH271" t="str">
        <f t="shared" si="626"/>
        <v/>
      </c>
    </row>
    <row r="272" spans="43:60">
      <c r="AQ272" t="str">
        <f t="shared" si="632"/>
        <v/>
      </c>
      <c r="AR272" t="str">
        <f t="shared" si="628"/>
        <v/>
      </c>
      <c r="AS272" t="str">
        <f t="shared" si="629"/>
        <v/>
      </c>
      <c r="AT272" t="str">
        <f t="shared" si="630"/>
        <v/>
      </c>
      <c r="AU272" t="str">
        <f t="shared" si="614"/>
        <v/>
      </c>
      <c r="AV272" t="str">
        <f t="shared" si="615"/>
        <v/>
      </c>
      <c r="AW272" t="str">
        <f t="shared" si="616"/>
        <v/>
      </c>
      <c r="AX272" t="str">
        <f t="shared" si="617"/>
        <v/>
      </c>
      <c r="AY272" t="str">
        <f t="shared" si="618"/>
        <v/>
      </c>
      <c r="AZ272" t="str">
        <f t="shared" si="619"/>
        <v/>
      </c>
      <c r="BA272" t="str">
        <f t="shared" si="620"/>
        <v/>
      </c>
      <c r="BB272" t="str">
        <f t="shared" si="621"/>
        <v/>
      </c>
      <c r="BC272" t="str">
        <f t="shared" si="622"/>
        <v/>
      </c>
      <c r="BD272" t="str">
        <f t="shared" si="623"/>
        <v/>
      </c>
      <c r="BE272" t="str">
        <f t="shared" si="624"/>
        <v/>
      </c>
      <c r="BF272" t="str">
        <f t="shared" si="625"/>
        <v/>
      </c>
      <c r="BG272" t="str">
        <f t="shared" si="631"/>
        <v/>
      </c>
      <c r="BH272" t="str">
        <f t="shared" si="626"/>
        <v/>
      </c>
    </row>
    <row r="273" spans="43:60">
      <c r="AQ273" t="str">
        <f t="shared" si="632"/>
        <v/>
      </c>
      <c r="AR273" t="str">
        <f t="shared" si="628"/>
        <v/>
      </c>
      <c r="AS273" t="str">
        <f t="shared" si="629"/>
        <v/>
      </c>
      <c r="AT273" t="str">
        <f t="shared" si="630"/>
        <v/>
      </c>
      <c r="AU273" t="str">
        <f t="shared" si="614"/>
        <v/>
      </c>
      <c r="AV273" t="str">
        <f t="shared" si="615"/>
        <v/>
      </c>
      <c r="AW273" t="str">
        <f t="shared" si="616"/>
        <v/>
      </c>
      <c r="AX273" t="str">
        <f t="shared" si="617"/>
        <v/>
      </c>
      <c r="AY273" t="str">
        <f t="shared" si="618"/>
        <v/>
      </c>
      <c r="AZ273" t="str">
        <f t="shared" si="619"/>
        <v/>
      </c>
      <c r="BA273" t="str">
        <f t="shared" si="620"/>
        <v/>
      </c>
      <c r="BB273" t="str">
        <f t="shared" si="621"/>
        <v/>
      </c>
      <c r="BC273" t="str">
        <f t="shared" si="622"/>
        <v/>
      </c>
      <c r="BD273" t="str">
        <f t="shared" si="623"/>
        <v/>
      </c>
      <c r="BE273" t="str">
        <f t="shared" si="624"/>
        <v/>
      </c>
      <c r="BF273" t="str">
        <f t="shared" si="625"/>
        <v/>
      </c>
      <c r="BG273" t="str">
        <f t="shared" si="631"/>
        <v/>
      </c>
      <c r="BH273" t="str">
        <f t="shared" si="626"/>
        <v/>
      </c>
    </row>
    <row r="274" spans="43:60">
      <c r="AQ274" t="str">
        <f t="shared" si="632"/>
        <v/>
      </c>
      <c r="AR274" t="str">
        <f t="shared" si="628"/>
        <v/>
      </c>
      <c r="AS274" t="str">
        <f t="shared" si="629"/>
        <v/>
      </c>
      <c r="AT274" t="str">
        <f t="shared" si="630"/>
        <v/>
      </c>
      <c r="AU274" t="str">
        <f t="shared" si="614"/>
        <v/>
      </c>
      <c r="AV274" t="str">
        <f t="shared" si="615"/>
        <v/>
      </c>
      <c r="AW274" t="str">
        <f t="shared" si="616"/>
        <v/>
      </c>
      <c r="AX274" t="str">
        <f t="shared" si="617"/>
        <v/>
      </c>
      <c r="AY274" t="str">
        <f t="shared" si="618"/>
        <v/>
      </c>
      <c r="AZ274" t="str">
        <f t="shared" si="619"/>
        <v/>
      </c>
      <c r="BA274" t="str">
        <f t="shared" si="620"/>
        <v/>
      </c>
      <c r="BB274" t="str">
        <f t="shared" si="621"/>
        <v/>
      </c>
      <c r="BC274" t="str">
        <f t="shared" si="622"/>
        <v/>
      </c>
      <c r="BD274" t="str">
        <f t="shared" si="623"/>
        <v/>
      </c>
      <c r="BE274" t="str">
        <f t="shared" si="624"/>
        <v/>
      </c>
      <c r="BF274" t="str">
        <f t="shared" si="625"/>
        <v/>
      </c>
      <c r="BG274" t="str">
        <f t="shared" si="631"/>
        <v/>
      </c>
      <c r="BH274" t="str">
        <f t="shared" si="626"/>
        <v/>
      </c>
    </row>
    <row r="275" spans="43:60">
      <c r="AQ275" t="str">
        <f t="shared" si="632"/>
        <v/>
      </c>
      <c r="AR275" t="str">
        <f t="shared" si="628"/>
        <v/>
      </c>
      <c r="AS275" t="str">
        <f t="shared" si="629"/>
        <v/>
      </c>
      <c r="AT275" t="str">
        <f t="shared" si="630"/>
        <v/>
      </c>
      <c r="AU275" t="str">
        <f t="shared" si="614"/>
        <v/>
      </c>
      <c r="AV275" t="str">
        <f t="shared" si="615"/>
        <v/>
      </c>
      <c r="AW275" t="str">
        <f t="shared" si="616"/>
        <v/>
      </c>
      <c r="AX275" t="str">
        <f t="shared" si="617"/>
        <v/>
      </c>
      <c r="AY275" t="str">
        <f t="shared" si="618"/>
        <v/>
      </c>
      <c r="AZ275" t="str">
        <f t="shared" si="619"/>
        <v/>
      </c>
      <c r="BA275" t="str">
        <f t="shared" si="620"/>
        <v/>
      </c>
      <c r="BB275" t="str">
        <f t="shared" si="621"/>
        <v/>
      </c>
      <c r="BC275" t="str">
        <f t="shared" si="622"/>
        <v/>
      </c>
      <c r="BD275" t="str">
        <f t="shared" si="623"/>
        <v/>
      </c>
      <c r="BE275" t="str">
        <f t="shared" si="624"/>
        <v/>
      </c>
      <c r="BF275" t="str">
        <f t="shared" si="625"/>
        <v/>
      </c>
      <c r="BG275" t="str">
        <f t="shared" si="631"/>
        <v/>
      </c>
      <c r="BH275" t="str">
        <f t="shared" si="626"/>
        <v/>
      </c>
    </row>
    <row r="276" spans="43:60">
      <c r="AQ276" t="str">
        <f t="shared" si="632"/>
        <v/>
      </c>
      <c r="AR276" t="str">
        <f t="shared" si="628"/>
        <v/>
      </c>
      <c r="AS276" t="str">
        <f t="shared" si="629"/>
        <v/>
      </c>
      <c r="AT276" t="str">
        <f t="shared" si="630"/>
        <v/>
      </c>
      <c r="AU276" t="str">
        <f t="shared" si="614"/>
        <v/>
      </c>
      <c r="AV276" t="str">
        <f t="shared" si="615"/>
        <v/>
      </c>
      <c r="AW276" t="str">
        <f t="shared" si="616"/>
        <v/>
      </c>
      <c r="AX276" t="str">
        <f t="shared" si="617"/>
        <v/>
      </c>
      <c r="AY276" t="str">
        <f t="shared" si="618"/>
        <v/>
      </c>
      <c r="AZ276" t="str">
        <f t="shared" si="619"/>
        <v/>
      </c>
      <c r="BA276" t="str">
        <f t="shared" si="620"/>
        <v/>
      </c>
      <c r="BB276" t="str">
        <f t="shared" si="621"/>
        <v/>
      </c>
      <c r="BC276" t="str">
        <f t="shared" si="622"/>
        <v/>
      </c>
      <c r="BD276" t="str">
        <f t="shared" si="623"/>
        <v/>
      </c>
      <c r="BE276" t="str">
        <f t="shared" si="624"/>
        <v/>
      </c>
      <c r="BF276" t="str">
        <f t="shared" si="625"/>
        <v/>
      </c>
      <c r="BG276" t="str">
        <f t="shared" si="631"/>
        <v/>
      </c>
      <c r="BH276" t="str">
        <f t="shared" si="626"/>
        <v/>
      </c>
    </row>
    <row r="277" spans="43:60">
      <c r="AQ277" t="str">
        <f t="shared" si="632"/>
        <v/>
      </c>
      <c r="AR277" t="str">
        <f t="shared" si="628"/>
        <v/>
      </c>
      <c r="AS277" t="str">
        <f t="shared" si="629"/>
        <v/>
      </c>
      <c r="AT277" t="str">
        <f t="shared" si="630"/>
        <v/>
      </c>
      <c r="AU277" t="str">
        <f t="shared" si="614"/>
        <v/>
      </c>
      <c r="AV277" t="str">
        <f t="shared" si="615"/>
        <v/>
      </c>
      <c r="AW277" t="str">
        <f t="shared" si="616"/>
        <v/>
      </c>
      <c r="AX277" t="str">
        <f t="shared" si="617"/>
        <v/>
      </c>
      <c r="AY277" t="str">
        <f t="shared" si="618"/>
        <v/>
      </c>
      <c r="AZ277" t="str">
        <f t="shared" si="619"/>
        <v/>
      </c>
      <c r="BA277" t="str">
        <f t="shared" si="620"/>
        <v/>
      </c>
      <c r="BB277" t="str">
        <f t="shared" si="621"/>
        <v/>
      </c>
      <c r="BC277" t="str">
        <f t="shared" si="622"/>
        <v/>
      </c>
      <c r="BD277" t="str">
        <f t="shared" si="623"/>
        <v/>
      </c>
      <c r="BE277" t="str">
        <f t="shared" si="624"/>
        <v/>
      </c>
      <c r="BF277" t="str">
        <f t="shared" si="625"/>
        <v/>
      </c>
      <c r="BG277" t="str">
        <f t="shared" si="631"/>
        <v/>
      </c>
      <c r="BH277" t="str">
        <f t="shared" si="626"/>
        <v/>
      </c>
    </row>
    <row r="278" spans="43:60">
      <c r="AQ278" t="str">
        <f t="shared" si="632"/>
        <v/>
      </c>
      <c r="AR278" t="str">
        <f t="shared" si="628"/>
        <v/>
      </c>
      <c r="AS278" t="str">
        <f t="shared" si="629"/>
        <v/>
      </c>
      <c r="AT278" t="str">
        <f t="shared" si="630"/>
        <v/>
      </c>
      <c r="AU278" t="str">
        <f t="shared" si="614"/>
        <v/>
      </c>
      <c r="AV278" t="str">
        <f t="shared" si="615"/>
        <v/>
      </c>
      <c r="AW278" t="str">
        <f t="shared" si="616"/>
        <v/>
      </c>
      <c r="AX278" t="str">
        <f t="shared" si="617"/>
        <v/>
      </c>
      <c r="AY278" t="str">
        <f t="shared" si="618"/>
        <v/>
      </c>
      <c r="AZ278" t="str">
        <f t="shared" si="619"/>
        <v/>
      </c>
      <c r="BA278" t="str">
        <f t="shared" si="620"/>
        <v/>
      </c>
      <c r="BB278" t="str">
        <f t="shared" si="621"/>
        <v/>
      </c>
      <c r="BC278" t="str">
        <f t="shared" si="622"/>
        <v/>
      </c>
      <c r="BD278" t="str">
        <f t="shared" si="623"/>
        <v/>
      </c>
      <c r="BE278" t="str">
        <f t="shared" si="624"/>
        <v/>
      </c>
      <c r="BF278" t="str">
        <f t="shared" si="625"/>
        <v/>
      </c>
      <c r="BG278" t="str">
        <f t="shared" si="631"/>
        <v/>
      </c>
      <c r="BH278" t="str">
        <f t="shared" si="626"/>
        <v/>
      </c>
    </row>
    <row r="279" spans="43:60">
      <c r="AQ279" t="str">
        <f t="shared" si="632"/>
        <v/>
      </c>
      <c r="AR279" t="str">
        <f t="shared" si="628"/>
        <v/>
      </c>
      <c r="AS279" t="str">
        <f t="shared" si="629"/>
        <v/>
      </c>
      <c r="AT279" t="str">
        <f t="shared" si="630"/>
        <v/>
      </c>
      <c r="AU279" t="str">
        <f t="shared" si="614"/>
        <v/>
      </c>
      <c r="AV279" t="str">
        <f t="shared" si="615"/>
        <v/>
      </c>
      <c r="AW279" t="str">
        <f t="shared" si="616"/>
        <v/>
      </c>
      <c r="AX279" t="str">
        <f t="shared" si="617"/>
        <v/>
      </c>
      <c r="AY279" t="str">
        <f t="shared" si="618"/>
        <v/>
      </c>
      <c r="AZ279" t="str">
        <f t="shared" si="619"/>
        <v/>
      </c>
      <c r="BA279" t="str">
        <f t="shared" si="620"/>
        <v/>
      </c>
      <c r="BB279" t="str">
        <f t="shared" si="621"/>
        <v/>
      </c>
      <c r="BC279" t="str">
        <f t="shared" si="622"/>
        <v/>
      </c>
      <c r="BD279" t="str">
        <f t="shared" si="623"/>
        <v/>
      </c>
      <c r="BE279" t="str">
        <f t="shared" si="624"/>
        <v/>
      </c>
      <c r="BF279" t="str">
        <f t="shared" si="625"/>
        <v/>
      </c>
      <c r="BG279" t="str">
        <f t="shared" si="631"/>
        <v/>
      </c>
      <c r="BH279" t="str">
        <f t="shared" si="626"/>
        <v/>
      </c>
    </row>
    <row r="280" spans="43:60">
      <c r="AQ280" t="str">
        <f t="shared" si="632"/>
        <v/>
      </c>
      <c r="AR280" t="str">
        <f t="shared" si="628"/>
        <v/>
      </c>
      <c r="AS280" t="str">
        <f t="shared" si="629"/>
        <v/>
      </c>
      <c r="AT280" t="str">
        <f t="shared" si="630"/>
        <v/>
      </c>
      <c r="AU280" t="str">
        <f t="shared" si="614"/>
        <v/>
      </c>
      <c r="AV280" t="str">
        <f t="shared" si="615"/>
        <v/>
      </c>
      <c r="AW280" t="str">
        <f t="shared" si="616"/>
        <v/>
      </c>
      <c r="AX280" t="str">
        <f t="shared" si="617"/>
        <v/>
      </c>
      <c r="AY280" t="str">
        <f t="shared" si="618"/>
        <v/>
      </c>
      <c r="AZ280" t="str">
        <f t="shared" si="619"/>
        <v/>
      </c>
      <c r="BA280" t="str">
        <f t="shared" si="620"/>
        <v/>
      </c>
      <c r="BB280" t="str">
        <f t="shared" si="621"/>
        <v/>
      </c>
      <c r="BC280" t="str">
        <f t="shared" si="622"/>
        <v/>
      </c>
      <c r="BD280" t="str">
        <f t="shared" si="623"/>
        <v/>
      </c>
      <c r="BE280" t="str">
        <f t="shared" si="624"/>
        <v/>
      </c>
      <c r="BF280" t="str">
        <f t="shared" si="625"/>
        <v/>
      </c>
      <c r="BG280" t="str">
        <f t="shared" si="631"/>
        <v/>
      </c>
      <c r="BH280" t="str">
        <f t="shared" si="626"/>
        <v/>
      </c>
    </row>
    <row r="281" spans="43:60">
      <c r="AQ281" t="str">
        <f t="shared" si="632"/>
        <v/>
      </c>
      <c r="AR281" t="str">
        <f t="shared" si="628"/>
        <v/>
      </c>
      <c r="AS281" t="str">
        <f t="shared" si="629"/>
        <v/>
      </c>
      <c r="AT281" t="str">
        <f t="shared" si="630"/>
        <v/>
      </c>
      <c r="AU281" t="str">
        <f t="shared" si="614"/>
        <v/>
      </c>
      <c r="AV281" t="str">
        <f t="shared" si="615"/>
        <v/>
      </c>
      <c r="AW281" t="str">
        <f t="shared" si="616"/>
        <v/>
      </c>
      <c r="AX281" t="str">
        <f t="shared" si="617"/>
        <v/>
      </c>
      <c r="AY281" t="str">
        <f t="shared" si="618"/>
        <v/>
      </c>
      <c r="AZ281" t="str">
        <f t="shared" si="619"/>
        <v/>
      </c>
      <c r="BA281" t="str">
        <f t="shared" si="620"/>
        <v/>
      </c>
      <c r="BB281" t="str">
        <f t="shared" si="621"/>
        <v/>
      </c>
      <c r="BC281" t="str">
        <f t="shared" si="622"/>
        <v/>
      </c>
      <c r="BD281" t="str">
        <f t="shared" si="623"/>
        <v/>
      </c>
      <c r="BE281" t="str">
        <f t="shared" si="624"/>
        <v/>
      </c>
      <c r="BF281" t="str">
        <f t="shared" si="625"/>
        <v/>
      </c>
      <c r="BG281" t="str">
        <f t="shared" si="631"/>
        <v/>
      </c>
      <c r="BH281" t="str">
        <f t="shared" si="626"/>
        <v/>
      </c>
    </row>
    <row r="282" spans="43:60">
      <c r="AQ282" t="str">
        <f t="shared" si="632"/>
        <v/>
      </c>
      <c r="AR282" t="str">
        <f t="shared" si="628"/>
        <v/>
      </c>
      <c r="AS282" t="str">
        <f t="shared" si="629"/>
        <v/>
      </c>
      <c r="AT282" t="str">
        <f t="shared" si="630"/>
        <v/>
      </c>
      <c r="AU282" t="str">
        <f t="shared" si="614"/>
        <v/>
      </c>
      <c r="AV282" t="str">
        <f t="shared" si="615"/>
        <v/>
      </c>
      <c r="AW282" t="str">
        <f t="shared" si="616"/>
        <v/>
      </c>
      <c r="AX282" t="str">
        <f t="shared" si="617"/>
        <v/>
      </c>
      <c r="AY282" t="str">
        <f t="shared" si="618"/>
        <v/>
      </c>
      <c r="AZ282" t="str">
        <f t="shared" si="619"/>
        <v/>
      </c>
      <c r="BA282" t="str">
        <f t="shared" si="620"/>
        <v/>
      </c>
      <c r="BB282" t="str">
        <f t="shared" si="621"/>
        <v/>
      </c>
      <c r="BC282" t="str">
        <f t="shared" si="622"/>
        <v/>
      </c>
      <c r="BD282" t="str">
        <f t="shared" si="623"/>
        <v/>
      </c>
      <c r="BE282" t="str">
        <f t="shared" si="624"/>
        <v/>
      </c>
      <c r="BF282" t="str">
        <f t="shared" si="625"/>
        <v/>
      </c>
      <c r="BG282" t="str">
        <f t="shared" si="631"/>
        <v/>
      </c>
      <c r="BH282" t="str">
        <f t="shared" si="626"/>
        <v/>
      </c>
    </row>
    <row r="283" spans="43:60">
      <c r="AQ283" t="str">
        <f t="shared" si="632"/>
        <v/>
      </c>
      <c r="AR283" t="str">
        <f t="shared" si="628"/>
        <v/>
      </c>
      <c r="AS283" t="str">
        <f t="shared" si="629"/>
        <v/>
      </c>
      <c r="AT283" t="str">
        <f t="shared" si="630"/>
        <v/>
      </c>
      <c r="AU283" t="str">
        <f t="shared" si="614"/>
        <v/>
      </c>
      <c r="AV283" t="str">
        <f t="shared" si="615"/>
        <v/>
      </c>
      <c r="AW283" t="str">
        <f t="shared" si="616"/>
        <v/>
      </c>
      <c r="AX283" t="str">
        <f t="shared" si="617"/>
        <v/>
      </c>
      <c r="AY283" t="str">
        <f t="shared" si="618"/>
        <v/>
      </c>
      <c r="AZ283" t="str">
        <f t="shared" si="619"/>
        <v/>
      </c>
      <c r="BA283" t="str">
        <f t="shared" si="620"/>
        <v/>
      </c>
      <c r="BB283" t="str">
        <f t="shared" si="621"/>
        <v/>
      </c>
      <c r="BC283" t="str">
        <f t="shared" si="622"/>
        <v/>
      </c>
      <c r="BD283" t="str">
        <f t="shared" si="623"/>
        <v/>
      </c>
      <c r="BE283" t="str">
        <f t="shared" si="624"/>
        <v/>
      </c>
      <c r="BF283" t="str">
        <f t="shared" si="625"/>
        <v/>
      </c>
      <c r="BG283" t="str">
        <f t="shared" si="631"/>
        <v/>
      </c>
      <c r="BH283" t="str">
        <f t="shared" si="626"/>
        <v/>
      </c>
    </row>
    <row r="284" spans="43:60">
      <c r="AQ284" t="str">
        <f t="shared" si="632"/>
        <v/>
      </c>
      <c r="AR284" t="str">
        <f t="shared" si="628"/>
        <v/>
      </c>
      <c r="AS284" t="str">
        <f t="shared" si="629"/>
        <v/>
      </c>
      <c r="AT284" t="str">
        <f t="shared" si="630"/>
        <v/>
      </c>
      <c r="AU284" t="str">
        <f t="shared" si="614"/>
        <v/>
      </c>
      <c r="AV284" t="str">
        <f t="shared" si="615"/>
        <v/>
      </c>
      <c r="AW284" t="str">
        <f t="shared" si="616"/>
        <v/>
      </c>
      <c r="AX284" t="str">
        <f t="shared" si="617"/>
        <v/>
      </c>
      <c r="AY284" t="str">
        <f t="shared" si="618"/>
        <v/>
      </c>
      <c r="AZ284" t="str">
        <f t="shared" si="619"/>
        <v/>
      </c>
      <c r="BA284" t="str">
        <f t="shared" si="620"/>
        <v/>
      </c>
      <c r="BB284" t="str">
        <f t="shared" si="621"/>
        <v/>
      </c>
      <c r="BC284" t="str">
        <f t="shared" si="622"/>
        <v/>
      </c>
      <c r="BD284" t="str">
        <f t="shared" si="623"/>
        <v/>
      </c>
      <c r="BE284" t="str">
        <f t="shared" si="624"/>
        <v/>
      </c>
      <c r="BF284" t="str">
        <f t="shared" si="625"/>
        <v/>
      </c>
      <c r="BG284" t="str">
        <f t="shared" si="631"/>
        <v/>
      </c>
      <c r="BH284" t="str">
        <f t="shared" si="626"/>
        <v/>
      </c>
    </row>
    <row r="285" spans="43:60">
      <c r="AQ285" t="str">
        <f t="shared" si="632"/>
        <v/>
      </c>
      <c r="AR285" t="str">
        <f t="shared" si="628"/>
        <v/>
      </c>
      <c r="AS285" t="str">
        <f t="shared" si="629"/>
        <v/>
      </c>
      <c r="AT285" t="str">
        <f t="shared" si="630"/>
        <v/>
      </c>
      <c r="AU285" t="str">
        <f t="shared" si="614"/>
        <v/>
      </c>
      <c r="AV285" t="str">
        <f t="shared" si="615"/>
        <v/>
      </c>
      <c r="AW285" t="str">
        <f t="shared" si="616"/>
        <v/>
      </c>
      <c r="AX285" t="str">
        <f t="shared" si="617"/>
        <v/>
      </c>
      <c r="AY285" t="str">
        <f t="shared" si="618"/>
        <v/>
      </c>
      <c r="AZ285" t="str">
        <f t="shared" si="619"/>
        <v/>
      </c>
      <c r="BA285" t="str">
        <f t="shared" si="620"/>
        <v/>
      </c>
      <c r="BB285" t="str">
        <f t="shared" si="621"/>
        <v/>
      </c>
      <c r="BC285" t="str">
        <f t="shared" si="622"/>
        <v/>
      </c>
      <c r="BD285" t="str">
        <f t="shared" si="623"/>
        <v/>
      </c>
      <c r="BE285" t="str">
        <f t="shared" si="624"/>
        <v/>
      </c>
      <c r="BF285" t="str">
        <f t="shared" si="625"/>
        <v/>
      </c>
      <c r="BG285" t="str">
        <f t="shared" si="631"/>
        <v/>
      </c>
      <c r="BH285" t="str">
        <f t="shared" si="626"/>
        <v/>
      </c>
    </row>
    <row r="286" spans="43:60">
      <c r="AQ286" t="str">
        <f t="shared" si="632"/>
        <v/>
      </c>
      <c r="AR286" t="str">
        <f t="shared" si="628"/>
        <v/>
      </c>
      <c r="AS286" t="str">
        <f t="shared" si="629"/>
        <v/>
      </c>
      <c r="AT286" t="str">
        <f t="shared" si="630"/>
        <v/>
      </c>
      <c r="AU286" t="str">
        <f t="shared" si="614"/>
        <v/>
      </c>
      <c r="AV286" t="str">
        <f t="shared" si="615"/>
        <v/>
      </c>
      <c r="AW286" t="str">
        <f t="shared" si="616"/>
        <v/>
      </c>
      <c r="AX286" t="str">
        <f t="shared" si="617"/>
        <v/>
      </c>
      <c r="AY286" t="str">
        <f t="shared" si="618"/>
        <v/>
      </c>
      <c r="AZ286" t="str">
        <f t="shared" si="619"/>
        <v/>
      </c>
      <c r="BA286" t="str">
        <f t="shared" si="620"/>
        <v/>
      </c>
      <c r="BB286" t="str">
        <f t="shared" si="621"/>
        <v/>
      </c>
      <c r="BC286" t="str">
        <f t="shared" si="622"/>
        <v/>
      </c>
      <c r="BD286" t="str">
        <f t="shared" si="623"/>
        <v/>
      </c>
      <c r="BE286" t="str">
        <f t="shared" si="624"/>
        <v/>
      </c>
      <c r="BF286" t="str">
        <f t="shared" si="625"/>
        <v/>
      </c>
      <c r="BG286" t="str">
        <f t="shared" si="631"/>
        <v/>
      </c>
      <c r="BH286" t="str">
        <f t="shared" si="626"/>
        <v/>
      </c>
    </row>
    <row r="287" spans="43:60">
      <c r="AQ287" t="str">
        <f t="shared" si="632"/>
        <v/>
      </c>
      <c r="AR287" t="str">
        <f t="shared" si="628"/>
        <v/>
      </c>
      <c r="AS287" t="str">
        <f t="shared" si="629"/>
        <v/>
      </c>
      <c r="AT287" t="str">
        <f t="shared" si="630"/>
        <v/>
      </c>
      <c r="AU287" t="str">
        <f t="shared" si="614"/>
        <v/>
      </c>
      <c r="AV287" t="str">
        <f t="shared" si="615"/>
        <v/>
      </c>
      <c r="AW287" t="str">
        <f t="shared" si="616"/>
        <v/>
      </c>
      <c r="AX287" t="str">
        <f t="shared" si="617"/>
        <v/>
      </c>
      <c r="AY287" t="str">
        <f t="shared" si="618"/>
        <v/>
      </c>
      <c r="AZ287" t="str">
        <f t="shared" si="619"/>
        <v/>
      </c>
      <c r="BA287" t="str">
        <f t="shared" si="620"/>
        <v/>
      </c>
      <c r="BB287" t="str">
        <f t="shared" si="621"/>
        <v/>
      </c>
      <c r="BC287" t="str">
        <f t="shared" si="622"/>
        <v/>
      </c>
      <c r="BD287" t="str">
        <f t="shared" si="623"/>
        <v/>
      </c>
      <c r="BE287" t="str">
        <f t="shared" si="624"/>
        <v/>
      </c>
      <c r="BF287" t="str">
        <f t="shared" si="625"/>
        <v/>
      </c>
      <c r="BG287" t="str">
        <f t="shared" si="631"/>
        <v/>
      </c>
      <c r="BH287" t="str">
        <f t="shared" si="626"/>
        <v/>
      </c>
    </row>
    <row r="288" spans="43:60">
      <c r="AQ288" t="str">
        <f t="shared" si="632"/>
        <v/>
      </c>
      <c r="AR288" t="str">
        <f t="shared" si="628"/>
        <v/>
      </c>
      <c r="AS288" t="str">
        <f t="shared" si="629"/>
        <v/>
      </c>
      <c r="AT288" t="str">
        <f t="shared" si="630"/>
        <v/>
      </c>
      <c r="AU288" t="str">
        <f t="shared" si="614"/>
        <v/>
      </c>
      <c r="AV288" t="str">
        <f t="shared" si="615"/>
        <v/>
      </c>
      <c r="AW288" t="str">
        <f t="shared" si="616"/>
        <v/>
      </c>
      <c r="AX288" t="str">
        <f t="shared" si="617"/>
        <v/>
      </c>
      <c r="AY288" t="str">
        <f t="shared" si="618"/>
        <v/>
      </c>
      <c r="AZ288" t="str">
        <f t="shared" si="619"/>
        <v/>
      </c>
      <c r="BA288" t="str">
        <f t="shared" si="620"/>
        <v/>
      </c>
      <c r="BB288" t="str">
        <f t="shared" si="621"/>
        <v/>
      </c>
      <c r="BC288" t="str">
        <f t="shared" si="622"/>
        <v/>
      </c>
      <c r="BD288" t="str">
        <f t="shared" si="623"/>
        <v/>
      </c>
      <c r="BE288" t="str">
        <f t="shared" si="624"/>
        <v/>
      </c>
      <c r="BF288" t="str">
        <f t="shared" si="625"/>
        <v/>
      </c>
      <c r="BG288" t="str">
        <f t="shared" si="631"/>
        <v/>
      </c>
      <c r="BH288" t="str">
        <f t="shared" si="626"/>
        <v/>
      </c>
    </row>
    <row r="289" spans="43:60">
      <c r="AQ289" t="str">
        <f t="shared" si="632"/>
        <v/>
      </c>
      <c r="AR289" t="str">
        <f t="shared" si="628"/>
        <v/>
      </c>
      <c r="AS289" t="str">
        <f t="shared" si="629"/>
        <v/>
      </c>
      <c r="AT289" t="str">
        <f t="shared" si="630"/>
        <v/>
      </c>
      <c r="AU289" t="str">
        <f t="shared" si="614"/>
        <v/>
      </c>
      <c r="AV289" t="str">
        <f t="shared" si="615"/>
        <v/>
      </c>
      <c r="AW289" t="str">
        <f t="shared" si="616"/>
        <v/>
      </c>
      <c r="AX289" t="str">
        <f t="shared" si="617"/>
        <v/>
      </c>
      <c r="AY289" t="str">
        <f t="shared" si="618"/>
        <v/>
      </c>
      <c r="AZ289" t="str">
        <f t="shared" si="619"/>
        <v/>
      </c>
      <c r="BA289" t="str">
        <f t="shared" si="620"/>
        <v/>
      </c>
      <c r="BB289" t="str">
        <f t="shared" si="621"/>
        <v/>
      </c>
      <c r="BC289" t="str">
        <f t="shared" si="622"/>
        <v/>
      </c>
      <c r="BD289" t="str">
        <f t="shared" si="623"/>
        <v/>
      </c>
      <c r="BE289" t="str">
        <f t="shared" si="624"/>
        <v/>
      </c>
      <c r="BF289" t="str">
        <f t="shared" si="625"/>
        <v/>
      </c>
      <c r="BG289" t="str">
        <f t="shared" si="631"/>
        <v/>
      </c>
      <c r="BH289" t="str">
        <f t="shared" si="626"/>
        <v/>
      </c>
    </row>
    <row r="290" spans="43:60">
      <c r="AQ290" t="str">
        <f t="shared" si="632"/>
        <v/>
      </c>
      <c r="AR290" t="str">
        <f t="shared" si="628"/>
        <v/>
      </c>
      <c r="AS290" t="str">
        <f t="shared" si="629"/>
        <v/>
      </c>
      <c r="AT290" t="str">
        <f t="shared" si="630"/>
        <v/>
      </c>
      <c r="AU290" t="str">
        <f t="shared" si="614"/>
        <v/>
      </c>
      <c r="AV290" t="str">
        <f t="shared" si="615"/>
        <v/>
      </c>
      <c r="AW290" t="str">
        <f t="shared" si="616"/>
        <v/>
      </c>
      <c r="AX290" t="str">
        <f t="shared" si="617"/>
        <v/>
      </c>
      <c r="AY290" t="str">
        <f t="shared" si="618"/>
        <v/>
      </c>
      <c r="AZ290" t="str">
        <f t="shared" si="619"/>
        <v/>
      </c>
      <c r="BA290" t="str">
        <f t="shared" si="620"/>
        <v/>
      </c>
      <c r="BB290" t="str">
        <f t="shared" si="621"/>
        <v/>
      </c>
      <c r="BC290" t="str">
        <f t="shared" si="622"/>
        <v/>
      </c>
      <c r="BD290" t="str">
        <f t="shared" si="623"/>
        <v/>
      </c>
      <c r="BE290" t="str">
        <f t="shared" si="624"/>
        <v/>
      </c>
      <c r="BF290" t="str">
        <f t="shared" si="625"/>
        <v/>
      </c>
      <c r="BG290" t="str">
        <f t="shared" si="631"/>
        <v/>
      </c>
      <c r="BH290" t="str">
        <f t="shared" si="626"/>
        <v/>
      </c>
    </row>
    <row r="291" spans="43:60">
      <c r="AQ291" t="str">
        <f t="shared" si="632"/>
        <v/>
      </c>
      <c r="AR291" t="str">
        <f t="shared" si="628"/>
        <v/>
      </c>
      <c r="AS291" t="str">
        <f t="shared" si="629"/>
        <v/>
      </c>
      <c r="AT291" t="str">
        <f t="shared" si="630"/>
        <v/>
      </c>
      <c r="AU291" t="str">
        <f t="shared" si="614"/>
        <v/>
      </c>
      <c r="AV291" t="str">
        <f t="shared" si="615"/>
        <v/>
      </c>
      <c r="AW291" t="str">
        <f t="shared" si="616"/>
        <v/>
      </c>
      <c r="AX291" t="str">
        <f t="shared" si="617"/>
        <v/>
      </c>
      <c r="AY291" t="str">
        <f t="shared" si="618"/>
        <v/>
      </c>
      <c r="AZ291" t="str">
        <f t="shared" si="619"/>
        <v/>
      </c>
      <c r="BA291" t="str">
        <f t="shared" si="620"/>
        <v/>
      </c>
      <c r="BB291" t="str">
        <f t="shared" si="621"/>
        <v/>
      </c>
      <c r="BC291" t="str">
        <f t="shared" si="622"/>
        <v/>
      </c>
      <c r="BD291" t="str">
        <f t="shared" si="623"/>
        <v/>
      </c>
      <c r="BE291" t="str">
        <f t="shared" si="624"/>
        <v/>
      </c>
      <c r="BF291" t="str">
        <f t="shared" si="625"/>
        <v/>
      </c>
      <c r="BG291" t="str">
        <f t="shared" si="631"/>
        <v/>
      </c>
      <c r="BH291" t="str">
        <f t="shared" si="626"/>
        <v/>
      </c>
    </row>
    <row r="292" spans="43:60">
      <c r="AQ292" t="str">
        <f t="shared" si="632"/>
        <v/>
      </c>
      <c r="AR292" t="str">
        <f t="shared" si="628"/>
        <v/>
      </c>
      <c r="AS292" t="str">
        <f t="shared" si="629"/>
        <v/>
      </c>
      <c r="AT292" t="str">
        <f t="shared" si="630"/>
        <v/>
      </c>
      <c r="AU292" t="str">
        <f t="shared" si="614"/>
        <v/>
      </c>
      <c r="AV292" t="str">
        <f t="shared" si="615"/>
        <v/>
      </c>
      <c r="AW292" t="str">
        <f t="shared" si="616"/>
        <v/>
      </c>
      <c r="AX292" t="str">
        <f t="shared" si="617"/>
        <v/>
      </c>
      <c r="AY292" t="str">
        <f t="shared" si="618"/>
        <v/>
      </c>
      <c r="AZ292" t="str">
        <f t="shared" si="619"/>
        <v/>
      </c>
      <c r="BA292" t="str">
        <f t="shared" si="620"/>
        <v/>
      </c>
      <c r="BB292" t="str">
        <f t="shared" si="621"/>
        <v/>
      </c>
      <c r="BC292" t="str">
        <f t="shared" si="622"/>
        <v/>
      </c>
      <c r="BD292" t="str">
        <f t="shared" si="623"/>
        <v/>
      </c>
      <c r="BE292" t="str">
        <f t="shared" si="624"/>
        <v/>
      </c>
      <c r="BF292" t="str">
        <f t="shared" si="625"/>
        <v/>
      </c>
      <c r="BG292" t="str">
        <f t="shared" si="631"/>
        <v/>
      </c>
      <c r="BH292" t="str">
        <f t="shared" si="626"/>
        <v/>
      </c>
    </row>
    <row r="293" spans="43:60">
      <c r="AQ293" t="str">
        <f t="shared" si="632"/>
        <v/>
      </c>
      <c r="AR293" t="str">
        <f t="shared" si="628"/>
        <v/>
      </c>
      <c r="AS293" t="str">
        <f t="shared" si="629"/>
        <v/>
      </c>
      <c r="AT293" t="str">
        <f t="shared" si="630"/>
        <v/>
      </c>
      <c r="AU293" t="str">
        <f t="shared" si="614"/>
        <v/>
      </c>
      <c r="AV293" t="str">
        <f t="shared" si="615"/>
        <v/>
      </c>
      <c r="AW293" t="str">
        <f t="shared" si="616"/>
        <v/>
      </c>
      <c r="AX293" t="str">
        <f t="shared" si="617"/>
        <v/>
      </c>
      <c r="AY293" t="str">
        <f t="shared" si="618"/>
        <v/>
      </c>
      <c r="AZ293" t="str">
        <f t="shared" si="619"/>
        <v/>
      </c>
      <c r="BA293" t="str">
        <f t="shared" si="620"/>
        <v/>
      </c>
      <c r="BB293" t="str">
        <f t="shared" si="621"/>
        <v/>
      </c>
      <c r="BC293" t="str">
        <f t="shared" si="622"/>
        <v/>
      </c>
      <c r="BD293" t="str">
        <f t="shared" si="623"/>
        <v/>
      </c>
      <c r="BE293" t="str">
        <f t="shared" si="624"/>
        <v/>
      </c>
      <c r="BF293" t="str">
        <f t="shared" si="625"/>
        <v/>
      </c>
      <c r="BG293" t="str">
        <f t="shared" si="631"/>
        <v/>
      </c>
      <c r="BH293" t="str">
        <f t="shared" si="626"/>
        <v/>
      </c>
    </row>
    <row r="294" spans="43:60">
      <c r="AQ294" t="str">
        <f t="shared" si="632"/>
        <v/>
      </c>
      <c r="AR294" t="str">
        <f t="shared" si="628"/>
        <v/>
      </c>
      <c r="AS294" t="str">
        <f t="shared" si="629"/>
        <v/>
      </c>
      <c r="AT294" t="str">
        <f t="shared" si="630"/>
        <v/>
      </c>
      <c r="AU294" t="str">
        <f t="shared" si="614"/>
        <v/>
      </c>
      <c r="AV294" t="str">
        <f t="shared" si="615"/>
        <v/>
      </c>
      <c r="AW294" t="str">
        <f t="shared" si="616"/>
        <v/>
      </c>
      <c r="AX294" t="str">
        <f t="shared" si="617"/>
        <v/>
      </c>
      <c r="AY294" t="str">
        <f t="shared" si="618"/>
        <v/>
      </c>
      <c r="AZ294" t="str">
        <f t="shared" si="619"/>
        <v/>
      </c>
      <c r="BA294" t="str">
        <f t="shared" si="620"/>
        <v/>
      </c>
      <c r="BB294" t="str">
        <f t="shared" si="621"/>
        <v/>
      </c>
      <c r="BC294" t="str">
        <f t="shared" si="622"/>
        <v/>
      </c>
      <c r="BD294" t="str">
        <f t="shared" si="623"/>
        <v/>
      </c>
      <c r="BE294" t="str">
        <f t="shared" si="624"/>
        <v/>
      </c>
      <c r="BF294" t="str">
        <f t="shared" si="625"/>
        <v/>
      </c>
      <c r="BG294" t="str">
        <f t="shared" si="631"/>
        <v/>
      </c>
      <c r="BH294" t="str">
        <f t="shared" si="626"/>
        <v/>
      </c>
    </row>
    <row r="295" spans="43:60">
      <c r="AQ295" t="str">
        <f t="shared" si="632"/>
        <v/>
      </c>
      <c r="AR295" t="str">
        <f t="shared" si="628"/>
        <v/>
      </c>
      <c r="AS295" t="str">
        <f t="shared" si="629"/>
        <v/>
      </c>
      <c r="AT295" t="str">
        <f t="shared" si="630"/>
        <v/>
      </c>
      <c r="AU295" t="str">
        <f t="shared" si="614"/>
        <v/>
      </c>
      <c r="AV295" t="str">
        <f t="shared" si="615"/>
        <v/>
      </c>
      <c r="AW295" t="str">
        <f t="shared" si="616"/>
        <v/>
      </c>
      <c r="AX295" t="str">
        <f t="shared" si="617"/>
        <v/>
      </c>
      <c r="AY295" t="str">
        <f t="shared" si="618"/>
        <v/>
      </c>
      <c r="AZ295" t="str">
        <f t="shared" si="619"/>
        <v/>
      </c>
      <c r="BA295" t="str">
        <f t="shared" si="620"/>
        <v/>
      </c>
      <c r="BB295" t="str">
        <f t="shared" si="621"/>
        <v/>
      </c>
      <c r="BC295" t="str">
        <f t="shared" si="622"/>
        <v/>
      </c>
      <c r="BD295" t="str">
        <f t="shared" si="623"/>
        <v/>
      </c>
      <c r="BE295" t="str">
        <f t="shared" si="624"/>
        <v/>
      </c>
      <c r="BF295" t="str">
        <f t="shared" si="625"/>
        <v/>
      </c>
      <c r="BG295" t="str">
        <f t="shared" si="631"/>
        <v/>
      </c>
      <c r="BH295" t="str">
        <f t="shared" si="626"/>
        <v/>
      </c>
    </row>
    <row r="296" spans="43:60">
      <c r="AQ296" t="str">
        <f t="shared" si="632"/>
        <v/>
      </c>
      <c r="AR296" t="str">
        <f t="shared" si="628"/>
        <v/>
      </c>
      <c r="AS296" t="str">
        <f t="shared" si="629"/>
        <v/>
      </c>
      <c r="AT296" t="str">
        <f t="shared" si="630"/>
        <v/>
      </c>
      <c r="AU296" t="str">
        <f t="shared" si="614"/>
        <v/>
      </c>
      <c r="AV296" t="str">
        <f t="shared" si="615"/>
        <v/>
      </c>
      <c r="AW296" t="str">
        <f t="shared" si="616"/>
        <v/>
      </c>
      <c r="AX296" t="str">
        <f t="shared" si="617"/>
        <v/>
      </c>
      <c r="AY296" t="str">
        <f t="shared" si="618"/>
        <v/>
      </c>
      <c r="AZ296" t="str">
        <f t="shared" si="619"/>
        <v/>
      </c>
      <c r="BA296" t="str">
        <f t="shared" si="620"/>
        <v/>
      </c>
      <c r="BB296" t="str">
        <f t="shared" si="621"/>
        <v/>
      </c>
      <c r="BC296" t="str">
        <f t="shared" si="622"/>
        <v/>
      </c>
      <c r="BD296" t="str">
        <f t="shared" si="623"/>
        <v/>
      </c>
      <c r="BE296" t="str">
        <f t="shared" si="624"/>
        <v/>
      </c>
      <c r="BF296" t="str">
        <f t="shared" si="625"/>
        <v/>
      </c>
      <c r="BG296" t="str">
        <f t="shared" si="631"/>
        <v/>
      </c>
      <c r="BH296" t="str">
        <f t="shared" si="626"/>
        <v/>
      </c>
    </row>
    <row r="297" spans="43:60">
      <c r="AQ297" t="str">
        <f t="shared" si="632"/>
        <v/>
      </c>
      <c r="AR297" t="str">
        <f t="shared" si="628"/>
        <v/>
      </c>
      <c r="AS297" t="str">
        <f t="shared" si="629"/>
        <v/>
      </c>
      <c r="AT297" t="str">
        <f t="shared" si="630"/>
        <v/>
      </c>
      <c r="AU297" t="str">
        <f t="shared" si="614"/>
        <v/>
      </c>
      <c r="AV297" t="str">
        <f t="shared" si="615"/>
        <v/>
      </c>
      <c r="AW297" t="str">
        <f t="shared" si="616"/>
        <v/>
      </c>
      <c r="AX297" t="str">
        <f t="shared" si="617"/>
        <v/>
      </c>
      <c r="AY297" t="str">
        <f t="shared" si="618"/>
        <v/>
      </c>
      <c r="AZ297" t="str">
        <f t="shared" si="619"/>
        <v/>
      </c>
      <c r="BA297" t="str">
        <f t="shared" si="620"/>
        <v/>
      </c>
      <c r="BB297" t="str">
        <f t="shared" si="621"/>
        <v/>
      </c>
      <c r="BC297" t="str">
        <f t="shared" si="622"/>
        <v/>
      </c>
      <c r="BD297" t="str">
        <f t="shared" si="623"/>
        <v/>
      </c>
      <c r="BE297" t="str">
        <f t="shared" si="624"/>
        <v/>
      </c>
      <c r="BF297" t="str">
        <f t="shared" si="625"/>
        <v/>
      </c>
      <c r="BG297" t="str">
        <f t="shared" si="631"/>
        <v/>
      </c>
      <c r="BH297" t="str">
        <f t="shared" si="626"/>
        <v/>
      </c>
    </row>
    <row r="298" spans="43:60">
      <c r="AQ298" t="str">
        <f t="shared" si="632"/>
        <v/>
      </c>
      <c r="AR298" t="str">
        <f t="shared" si="628"/>
        <v/>
      </c>
      <c r="AS298" t="str">
        <f t="shared" si="629"/>
        <v/>
      </c>
      <c r="AT298" t="str">
        <f t="shared" si="630"/>
        <v/>
      </c>
      <c r="AU298" t="str">
        <f t="shared" si="614"/>
        <v/>
      </c>
      <c r="AV298" t="str">
        <f t="shared" si="615"/>
        <v/>
      </c>
      <c r="AW298" t="str">
        <f t="shared" si="616"/>
        <v/>
      </c>
      <c r="AX298" t="str">
        <f t="shared" si="617"/>
        <v/>
      </c>
      <c r="AY298" t="str">
        <f t="shared" si="618"/>
        <v/>
      </c>
      <c r="AZ298" t="str">
        <f t="shared" si="619"/>
        <v/>
      </c>
      <c r="BA298" t="str">
        <f t="shared" si="620"/>
        <v/>
      </c>
      <c r="BB298" t="str">
        <f t="shared" si="621"/>
        <v/>
      </c>
      <c r="BC298" t="str">
        <f t="shared" si="622"/>
        <v/>
      </c>
      <c r="BD298" t="str">
        <f t="shared" si="623"/>
        <v/>
      </c>
      <c r="BE298" t="str">
        <f t="shared" si="624"/>
        <v/>
      </c>
      <c r="BF298" t="str">
        <f t="shared" si="625"/>
        <v/>
      </c>
      <c r="BG298" t="str">
        <f t="shared" si="631"/>
        <v/>
      </c>
      <c r="BH298" t="str">
        <f t="shared" si="626"/>
        <v/>
      </c>
    </row>
    <row r="299" spans="43:60">
      <c r="AQ299" t="str">
        <f t="shared" si="632"/>
        <v/>
      </c>
      <c r="AR299" t="str">
        <f t="shared" si="628"/>
        <v/>
      </c>
      <c r="AS299" t="str">
        <f t="shared" si="629"/>
        <v/>
      </c>
      <c r="AT299" t="str">
        <f t="shared" si="630"/>
        <v/>
      </c>
      <c r="AU299" t="str">
        <f t="shared" si="614"/>
        <v/>
      </c>
      <c r="AV299" t="str">
        <f t="shared" si="615"/>
        <v/>
      </c>
      <c r="AW299" t="str">
        <f t="shared" si="616"/>
        <v/>
      </c>
      <c r="AX299" t="str">
        <f t="shared" si="617"/>
        <v/>
      </c>
      <c r="AY299" t="str">
        <f t="shared" si="618"/>
        <v/>
      </c>
      <c r="AZ299" t="str">
        <f t="shared" si="619"/>
        <v/>
      </c>
      <c r="BA299" t="str">
        <f t="shared" si="620"/>
        <v/>
      </c>
      <c r="BB299" t="str">
        <f t="shared" si="621"/>
        <v/>
      </c>
      <c r="BC299" t="str">
        <f t="shared" si="622"/>
        <v/>
      </c>
      <c r="BD299" t="str">
        <f t="shared" si="623"/>
        <v/>
      </c>
      <c r="BE299" t="str">
        <f t="shared" si="624"/>
        <v/>
      </c>
      <c r="BF299" t="str">
        <f t="shared" si="625"/>
        <v/>
      </c>
      <c r="BG299" t="str">
        <f t="shared" si="631"/>
        <v/>
      </c>
      <c r="BH299" t="str">
        <f t="shared" si="626"/>
        <v/>
      </c>
    </row>
    <row r="300" spans="43:60">
      <c r="AQ300" t="str">
        <f t="shared" si="632"/>
        <v/>
      </c>
      <c r="AR300" t="str">
        <f t="shared" si="628"/>
        <v/>
      </c>
      <c r="AS300" t="str">
        <f t="shared" si="629"/>
        <v/>
      </c>
      <c r="AT300" t="str">
        <f t="shared" si="630"/>
        <v/>
      </c>
      <c r="AU300" t="str">
        <f t="shared" si="614"/>
        <v/>
      </c>
      <c r="AV300" t="str">
        <f t="shared" si="615"/>
        <v/>
      </c>
      <c r="AW300" t="str">
        <f t="shared" si="616"/>
        <v/>
      </c>
      <c r="AX300" t="str">
        <f t="shared" si="617"/>
        <v/>
      </c>
      <c r="AY300" t="str">
        <f t="shared" si="618"/>
        <v/>
      </c>
      <c r="AZ300" t="str">
        <f t="shared" si="619"/>
        <v/>
      </c>
      <c r="BA300" t="str">
        <f t="shared" si="620"/>
        <v/>
      </c>
      <c r="BB300" t="str">
        <f t="shared" si="621"/>
        <v/>
      </c>
      <c r="BC300" t="str">
        <f t="shared" si="622"/>
        <v/>
      </c>
      <c r="BD300" t="str">
        <f t="shared" si="623"/>
        <v/>
      </c>
      <c r="BE300" t="str">
        <f t="shared" si="624"/>
        <v/>
      </c>
      <c r="BF300" t="str">
        <f t="shared" si="625"/>
        <v/>
      </c>
      <c r="BG300" t="str">
        <f t="shared" si="631"/>
        <v/>
      </c>
      <c r="BH300" t="str">
        <f t="shared" si="626"/>
        <v/>
      </c>
    </row>
    <row r="301" spans="43:60">
      <c r="AQ301" t="str">
        <f t="shared" si="632"/>
        <v/>
      </c>
      <c r="AR301" t="str">
        <f t="shared" si="628"/>
        <v/>
      </c>
      <c r="AS301" t="str">
        <f t="shared" si="629"/>
        <v/>
      </c>
      <c r="AT301" t="str">
        <f t="shared" si="630"/>
        <v/>
      </c>
      <c r="AU301" t="str">
        <f t="shared" si="614"/>
        <v/>
      </c>
      <c r="AV301" t="str">
        <f t="shared" si="615"/>
        <v/>
      </c>
      <c r="AW301" t="str">
        <f t="shared" si="616"/>
        <v/>
      </c>
      <c r="AX301" t="str">
        <f t="shared" si="617"/>
        <v/>
      </c>
      <c r="AY301" t="str">
        <f t="shared" si="618"/>
        <v/>
      </c>
      <c r="AZ301" t="str">
        <f t="shared" si="619"/>
        <v/>
      </c>
      <c r="BA301" t="str">
        <f t="shared" si="620"/>
        <v/>
      </c>
      <c r="BB301" t="str">
        <f t="shared" si="621"/>
        <v/>
      </c>
      <c r="BC301" t="str">
        <f t="shared" si="622"/>
        <v/>
      </c>
      <c r="BD301" t="str">
        <f t="shared" si="623"/>
        <v/>
      </c>
      <c r="BE301" t="str">
        <f t="shared" si="624"/>
        <v/>
      </c>
      <c r="BF301" t="str">
        <f t="shared" si="625"/>
        <v/>
      </c>
      <c r="BG301" t="str">
        <f t="shared" si="631"/>
        <v/>
      </c>
      <c r="BH301" t="str">
        <f t="shared" si="626"/>
        <v/>
      </c>
    </row>
    <row r="302" spans="43:60">
      <c r="AQ302" t="str">
        <f t="shared" si="632"/>
        <v/>
      </c>
      <c r="AR302" t="str">
        <f t="shared" si="628"/>
        <v/>
      </c>
      <c r="AS302" t="str">
        <f t="shared" si="629"/>
        <v/>
      </c>
      <c r="AT302" t="str">
        <f t="shared" si="630"/>
        <v/>
      </c>
      <c r="AU302" t="str">
        <f t="shared" si="614"/>
        <v/>
      </c>
      <c r="AV302" t="str">
        <f t="shared" si="615"/>
        <v/>
      </c>
      <c r="AW302" t="str">
        <f t="shared" si="616"/>
        <v/>
      </c>
      <c r="AX302" t="str">
        <f t="shared" si="617"/>
        <v/>
      </c>
      <c r="AY302" t="str">
        <f t="shared" si="618"/>
        <v/>
      </c>
      <c r="AZ302" t="str">
        <f t="shared" si="619"/>
        <v/>
      </c>
      <c r="BA302" t="str">
        <f t="shared" si="620"/>
        <v/>
      </c>
      <c r="BB302" t="str">
        <f t="shared" si="621"/>
        <v/>
      </c>
      <c r="BC302" t="str">
        <f t="shared" si="622"/>
        <v/>
      </c>
      <c r="BD302" t="str">
        <f t="shared" si="623"/>
        <v/>
      </c>
      <c r="BE302" t="str">
        <f t="shared" si="624"/>
        <v/>
      </c>
      <c r="BF302" t="str">
        <f t="shared" si="625"/>
        <v/>
      </c>
      <c r="BG302" t="str">
        <f t="shared" si="631"/>
        <v/>
      </c>
      <c r="BH302" t="str">
        <f t="shared" si="626"/>
        <v/>
      </c>
    </row>
    <row r="303" spans="43:60">
      <c r="AQ303" t="str">
        <f t="shared" si="632"/>
        <v/>
      </c>
      <c r="AR303" t="str">
        <f t="shared" si="628"/>
        <v/>
      </c>
      <c r="AS303" t="str">
        <f t="shared" si="629"/>
        <v/>
      </c>
      <c r="AT303" t="str">
        <f t="shared" si="630"/>
        <v/>
      </c>
      <c r="AU303" t="str">
        <f t="shared" si="614"/>
        <v/>
      </c>
      <c r="AV303" t="str">
        <f t="shared" si="615"/>
        <v/>
      </c>
      <c r="AW303" t="str">
        <f t="shared" si="616"/>
        <v/>
      </c>
      <c r="AX303" t="str">
        <f t="shared" si="617"/>
        <v/>
      </c>
      <c r="AY303" t="str">
        <f t="shared" si="618"/>
        <v/>
      </c>
      <c r="AZ303" t="str">
        <f t="shared" si="619"/>
        <v/>
      </c>
      <c r="BA303" t="str">
        <f t="shared" si="620"/>
        <v/>
      </c>
      <c r="BB303" t="str">
        <f t="shared" si="621"/>
        <v/>
      </c>
      <c r="BC303" t="str">
        <f t="shared" si="622"/>
        <v/>
      </c>
      <c r="BD303" t="str">
        <f t="shared" si="623"/>
        <v/>
      </c>
      <c r="BE303" t="str">
        <f t="shared" si="624"/>
        <v/>
      </c>
      <c r="BF303" t="str">
        <f t="shared" si="625"/>
        <v/>
      </c>
      <c r="BG303" t="str">
        <f t="shared" si="631"/>
        <v/>
      </c>
      <c r="BH303" t="str">
        <f t="shared" si="626"/>
        <v/>
      </c>
    </row>
    <row r="304" spans="43:60">
      <c r="AQ304" t="str">
        <f t="shared" si="632"/>
        <v/>
      </c>
      <c r="AR304" t="str">
        <f t="shared" si="628"/>
        <v/>
      </c>
      <c r="AS304" t="str">
        <f t="shared" si="629"/>
        <v/>
      </c>
      <c r="AT304" t="str">
        <f t="shared" si="630"/>
        <v/>
      </c>
      <c r="AU304" t="str">
        <f t="shared" si="614"/>
        <v/>
      </c>
      <c r="AV304" t="str">
        <f t="shared" si="615"/>
        <v/>
      </c>
      <c r="AW304" t="str">
        <f t="shared" si="616"/>
        <v/>
      </c>
      <c r="AX304" t="str">
        <f t="shared" si="617"/>
        <v/>
      </c>
      <c r="AY304" t="str">
        <f t="shared" si="618"/>
        <v/>
      </c>
      <c r="AZ304" t="str">
        <f t="shared" si="619"/>
        <v/>
      </c>
      <c r="BA304" t="str">
        <f t="shared" si="620"/>
        <v/>
      </c>
      <c r="BB304" t="str">
        <f t="shared" si="621"/>
        <v/>
      </c>
      <c r="BC304" t="str">
        <f t="shared" si="622"/>
        <v/>
      </c>
      <c r="BD304" t="str">
        <f t="shared" si="623"/>
        <v/>
      </c>
      <c r="BE304" t="str">
        <f t="shared" si="624"/>
        <v/>
      </c>
      <c r="BF304" t="str">
        <f t="shared" si="625"/>
        <v/>
      </c>
      <c r="BG304" t="str">
        <f t="shared" si="631"/>
        <v/>
      </c>
      <c r="BH304" t="str">
        <f t="shared" si="626"/>
        <v/>
      </c>
    </row>
    <row r="305" spans="43:60">
      <c r="AQ305" t="str">
        <f t="shared" si="632"/>
        <v/>
      </c>
      <c r="AR305" t="str">
        <f t="shared" si="628"/>
        <v/>
      </c>
      <c r="AS305" t="str">
        <f t="shared" si="629"/>
        <v/>
      </c>
      <c r="AT305" t="str">
        <f t="shared" si="630"/>
        <v/>
      </c>
      <c r="AU305" t="str">
        <f t="shared" ref="AU305:AU368" si="634" xml:space="preserve"> IF( $AR305=AU$176, IF( AND($AS305=1,$AS306=1), $AR305, VLOOKUP( MIN($AO$177-0.001,($AS305-0.5))*HitSize, $DW$4:$EZ$125, AU$175 )), "" )</f>
        <v/>
      </c>
      <c r="AV305" t="str">
        <f t="shared" ref="AV305:AV368" si="635" xml:space="preserve"> IF( $AR305=AV$176, IF( AND($AS305=1,$AS306=1), $AR305, VLOOKUP( MIN($AO$178-0.001,($AS305-0.5))*HitSize, $DY$4:$EZ$125, AV$175 )), "" )</f>
        <v/>
      </c>
      <c r="AW305" t="str">
        <f t="shared" ref="AW305:AW368" si="636" xml:space="preserve"> IF( $AR305=AW$176, IF( AND($AS305=1,$AS306=1), $AR305, VLOOKUP( MIN($AO$179-0.001,($AS305-0.5))*HitSize, $EA$4:$EZ$125, AW$175 )), "" )</f>
        <v/>
      </c>
      <c r="AX305" t="str">
        <f t="shared" ref="AX305:AX368" si="637" xml:space="preserve"> IF( $AR305=AX$176, IF( AND($AS305=1,$AS306=1), $AR305, VLOOKUP( MIN($AO$180-0.001,($AS305-0.5))*HitSize, $EE$4:$EZ$125, AX$175 )), "" )</f>
        <v/>
      </c>
      <c r="AY305" t="str">
        <f t="shared" ref="AY305:AY368" si="638" xml:space="preserve"> IF( $AR305=AY$176, IF( AND($AS305=1,$AS306=1), $AR305, VLOOKUP( MIN($AO$181-0.001,($AS305-0.5))*HitSize, $EG$4:$EZ$125, AY$175 )), "" )</f>
        <v/>
      </c>
      <c r="AZ305" t="str">
        <f t="shared" ref="AZ305:AZ368" si="639" xml:space="preserve"> IF( $AR305=AZ$176, IF( AND($AS305=1,$AS306=1), $AR305, VLOOKUP( MIN($AO$182-0.001,($AS305-0.5))*HitSize, $EC$4:$EZ$125, AZ$175 )), "" )</f>
        <v/>
      </c>
      <c r="BA305" t="str">
        <f t="shared" ref="BA305:BA368" si="640" xml:space="preserve"> IF( $AR305=BA$176, IF( AND($AS305=1,$AS306=1), $AR305, VLOOKUP( MIN($AO$183-0.001,($AS305-0.5))*HitSize, $EM$4:$EZ$125, BA$175 )), "" )</f>
        <v/>
      </c>
      <c r="BB305" t="str">
        <f t="shared" ref="BB305:BB368" si="641" xml:space="preserve"> IF( $AR305=BB$176, IF( AND($AS305=1,$AS306=1), $AR305, VLOOKUP( MIN($AO$184-0.001,($AS305-0.5))*HitSize, $EK$4:$EZ$125, BB$175 )), "" )</f>
        <v/>
      </c>
      <c r="BC305" t="str">
        <f t="shared" ref="BC305:BC368" si="642" xml:space="preserve"> IF( $AR305=BC$176, IF( AND($AS305=1,$AS306=1), $AR305, VLOOKUP( MIN($AO$185-0.001,($AS305-0.5))*HitSize, $EI$4:$EZ$125, BC$175 )), "" )</f>
        <v/>
      </c>
      <c r="BD305" t="str">
        <f t="shared" ref="BD305:BD368" si="643" xml:space="preserve"> IF( $AR305=BD$176, IF( AND($AS305=1,$AS306=1), $AR305, VLOOKUP( MIN($AO$186-0.001,($AS305-0.5))*HitSize, $EO$4:$EZ$125, BD$175 )), "" )</f>
        <v/>
      </c>
      <c r="BE305" t="str">
        <f t="shared" ref="BE305:BE368" si="644" xml:space="preserve"> IF( $AR305=BE$176, IF( AND($AS305=1,$AS306=1), $AR305, VLOOKUP( MIN($AO$187-0.001,($AS305-0.5))*HitSize, $EQ$4:$EZ$125, BE$175 )), "" )</f>
        <v/>
      </c>
      <c r="BF305" t="str">
        <f t="shared" ref="BF305:BF368" si="645" xml:space="preserve"> IF( $AR305=BF$176, IF( AND($AS305=1,$AS306=1), $AR305, VLOOKUP( MIN($AO$188-0.001,($AS305-0.5))*HitSize, $ES$4:$EZ$125, BF$175 )), "" )</f>
        <v/>
      </c>
      <c r="BG305" t="str">
        <f t="shared" si="631"/>
        <v/>
      </c>
      <c r="BH305" t="str">
        <f t="shared" ref="BH305:BH368" si="646" xml:space="preserve"> IF( $AR305=BH$176, IF( AND($AS305=1,$AS306=1), $AR305, VLOOKUP( MAX(0,$AO$190+1-$AS305-0.5)*HitSize, $EW$4:$EZ$125, BH$175 )), "" )</f>
        <v/>
      </c>
    </row>
    <row r="306" spans="43:60">
      <c r="AQ306" t="str">
        <f t="shared" si="632"/>
        <v/>
      </c>
      <c r="AR306" t="str">
        <f t="shared" ref="AR306:AR369" si="647" xml:space="preserve"> IF( AQ306&lt;&gt;"", IF( AND($AO$195&gt;0,AQ306&gt;=$AO$196,AQ306&lt;$AO$196+$AO$195), "JumpD", VLOOKUP( (AQ306-0.5-IF(AQ306&gt;$AO$196,$AO$195,0))*HitSize, $AL$177:$AN$190, 3 )), "" )</f>
        <v/>
      </c>
      <c r="AS306" t="str">
        <f t="shared" ref="AS306:AS369" si="648" xml:space="preserve"> IF( AR306&lt;&gt;"", IF( AND( $AO$195&gt;0,AQ306=($AO$196+$AO$195)), IF(AR306=$AN$199,$AO$199+1,1), IF(AR306&lt;&gt;AR305,1,AS305+1)), "" )</f>
        <v/>
      </c>
      <c r="AT306" t="str">
        <f t="shared" ref="AT306:AT369" si="649">CONCATENATE( AU306,AV306,AW306,AX306,AY306,AZ306,BA306,BB306,BC306,BD306,BE306,BF306,BG306,BH306 )</f>
        <v/>
      </c>
      <c r="AU306" t="str">
        <f t="shared" si="634"/>
        <v/>
      </c>
      <c r="AV306" t="str">
        <f t="shared" si="635"/>
        <v/>
      </c>
      <c r="AW306" t="str">
        <f t="shared" si="636"/>
        <v/>
      </c>
      <c r="AX306" t="str">
        <f t="shared" si="637"/>
        <v/>
      </c>
      <c r="AY306" t="str">
        <f t="shared" si="638"/>
        <v/>
      </c>
      <c r="AZ306" t="str">
        <f t="shared" si="639"/>
        <v/>
      </c>
      <c r="BA306" t="str">
        <f t="shared" si="640"/>
        <v/>
      </c>
      <c r="BB306" t="str">
        <f t="shared" si="641"/>
        <v/>
      </c>
      <c r="BC306" t="str">
        <f t="shared" si="642"/>
        <v/>
      </c>
      <c r="BD306" t="str">
        <f t="shared" si="643"/>
        <v/>
      </c>
      <c r="BE306" t="str">
        <f t="shared" si="644"/>
        <v/>
      </c>
      <c r="BF306" t="str">
        <f t="shared" si="645"/>
        <v/>
      </c>
      <c r="BG306" t="str">
        <f t="shared" ref="BG306:BG369" si="650" xml:space="preserve"> IF( $AR306=BG$176, $AR306, "" )</f>
        <v/>
      </c>
      <c r="BH306" t="str">
        <f t="shared" si="646"/>
        <v/>
      </c>
    </row>
    <row r="307" spans="43:60">
      <c r="AQ307" t="str">
        <f t="shared" ref="AQ307:AQ312" si="651" xml:space="preserve"> IF( AQ306&lt;&gt;"", IF( AQ306&lt;$AR$175, AQ306+1, "" ), "" )</f>
        <v/>
      </c>
      <c r="AR307" t="str">
        <f t="shared" si="647"/>
        <v/>
      </c>
      <c r="AS307" t="str">
        <f t="shared" si="648"/>
        <v/>
      </c>
      <c r="AT307" t="str">
        <f t="shared" si="649"/>
        <v/>
      </c>
      <c r="AU307" t="str">
        <f t="shared" si="634"/>
        <v/>
      </c>
      <c r="AV307" t="str">
        <f t="shared" si="635"/>
        <v/>
      </c>
      <c r="AW307" t="str">
        <f t="shared" si="636"/>
        <v/>
      </c>
      <c r="AX307" t="str">
        <f t="shared" si="637"/>
        <v/>
      </c>
      <c r="AY307" t="str">
        <f t="shared" si="638"/>
        <v/>
      </c>
      <c r="AZ307" t="str">
        <f t="shared" si="639"/>
        <v/>
      </c>
      <c r="BA307" t="str">
        <f t="shared" si="640"/>
        <v/>
      </c>
      <c r="BB307" t="str">
        <f t="shared" si="641"/>
        <v/>
      </c>
      <c r="BC307" t="str">
        <f t="shared" si="642"/>
        <v/>
      </c>
      <c r="BD307" t="str">
        <f t="shared" si="643"/>
        <v/>
      </c>
      <c r="BE307" t="str">
        <f t="shared" si="644"/>
        <v/>
      </c>
      <c r="BF307" t="str">
        <f t="shared" si="645"/>
        <v/>
      </c>
      <c r="BG307" t="str">
        <f t="shared" si="650"/>
        <v/>
      </c>
      <c r="BH307" t="str">
        <f t="shared" si="646"/>
        <v/>
      </c>
    </row>
    <row r="308" spans="43:60">
      <c r="AQ308" t="str">
        <f t="shared" si="651"/>
        <v/>
      </c>
      <c r="AR308" t="str">
        <f t="shared" si="647"/>
        <v/>
      </c>
      <c r="AS308" t="str">
        <f t="shared" si="648"/>
        <v/>
      </c>
      <c r="AT308" t="str">
        <f t="shared" si="649"/>
        <v/>
      </c>
      <c r="AU308" t="str">
        <f t="shared" si="634"/>
        <v/>
      </c>
      <c r="AV308" t="str">
        <f t="shared" si="635"/>
        <v/>
      </c>
      <c r="AW308" t="str">
        <f t="shared" si="636"/>
        <v/>
      </c>
      <c r="AX308" t="str">
        <f t="shared" si="637"/>
        <v/>
      </c>
      <c r="AY308" t="str">
        <f t="shared" si="638"/>
        <v/>
      </c>
      <c r="AZ308" t="str">
        <f t="shared" si="639"/>
        <v/>
      </c>
      <c r="BA308" t="str">
        <f t="shared" si="640"/>
        <v/>
      </c>
      <c r="BB308" t="str">
        <f t="shared" si="641"/>
        <v/>
      </c>
      <c r="BC308" t="str">
        <f t="shared" si="642"/>
        <v/>
      </c>
      <c r="BD308" t="str">
        <f t="shared" si="643"/>
        <v/>
      </c>
      <c r="BE308" t="str">
        <f t="shared" si="644"/>
        <v/>
      </c>
      <c r="BF308" t="str">
        <f t="shared" si="645"/>
        <v/>
      </c>
      <c r="BG308" t="str">
        <f t="shared" si="650"/>
        <v/>
      </c>
      <c r="BH308" t="str">
        <f t="shared" si="646"/>
        <v/>
      </c>
    </row>
    <row r="309" spans="43:60">
      <c r="AQ309" t="str">
        <f t="shared" si="651"/>
        <v/>
      </c>
      <c r="AR309" t="str">
        <f t="shared" si="647"/>
        <v/>
      </c>
      <c r="AS309" t="str">
        <f t="shared" si="648"/>
        <v/>
      </c>
      <c r="AT309" t="str">
        <f t="shared" si="649"/>
        <v/>
      </c>
      <c r="AU309" t="str">
        <f t="shared" si="634"/>
        <v/>
      </c>
      <c r="AV309" t="str">
        <f t="shared" si="635"/>
        <v/>
      </c>
      <c r="AW309" t="str">
        <f t="shared" si="636"/>
        <v/>
      </c>
      <c r="AX309" t="str">
        <f t="shared" si="637"/>
        <v/>
      </c>
      <c r="AY309" t="str">
        <f t="shared" si="638"/>
        <v/>
      </c>
      <c r="AZ309" t="str">
        <f t="shared" si="639"/>
        <v/>
      </c>
      <c r="BA309" t="str">
        <f t="shared" si="640"/>
        <v/>
      </c>
      <c r="BB309" t="str">
        <f t="shared" si="641"/>
        <v/>
      </c>
      <c r="BC309" t="str">
        <f t="shared" si="642"/>
        <v/>
      </c>
      <c r="BD309" t="str">
        <f t="shared" si="643"/>
        <v/>
      </c>
      <c r="BE309" t="str">
        <f t="shared" si="644"/>
        <v/>
      </c>
      <c r="BF309" t="str">
        <f t="shared" si="645"/>
        <v/>
      </c>
      <c r="BG309" t="str">
        <f t="shared" si="650"/>
        <v/>
      </c>
      <c r="BH309" t="str">
        <f t="shared" si="646"/>
        <v/>
      </c>
    </row>
    <row r="310" spans="43:60">
      <c r="AQ310" t="str">
        <f t="shared" si="651"/>
        <v/>
      </c>
      <c r="AR310" t="str">
        <f t="shared" si="647"/>
        <v/>
      </c>
      <c r="AS310" t="str">
        <f t="shared" si="648"/>
        <v/>
      </c>
      <c r="AT310" t="str">
        <f t="shared" si="649"/>
        <v/>
      </c>
      <c r="AU310" t="str">
        <f t="shared" si="634"/>
        <v/>
      </c>
      <c r="AV310" t="str">
        <f t="shared" si="635"/>
        <v/>
      </c>
      <c r="AW310" t="str">
        <f t="shared" si="636"/>
        <v/>
      </c>
      <c r="AX310" t="str">
        <f t="shared" si="637"/>
        <v/>
      </c>
      <c r="AY310" t="str">
        <f t="shared" si="638"/>
        <v/>
      </c>
      <c r="AZ310" t="str">
        <f t="shared" si="639"/>
        <v/>
      </c>
      <c r="BA310" t="str">
        <f t="shared" si="640"/>
        <v/>
      </c>
      <c r="BB310" t="str">
        <f t="shared" si="641"/>
        <v/>
      </c>
      <c r="BC310" t="str">
        <f t="shared" si="642"/>
        <v/>
      </c>
      <c r="BD310" t="str">
        <f t="shared" si="643"/>
        <v/>
      </c>
      <c r="BE310" t="str">
        <f t="shared" si="644"/>
        <v/>
      </c>
      <c r="BF310" t="str">
        <f t="shared" si="645"/>
        <v/>
      </c>
      <c r="BG310" t="str">
        <f t="shared" si="650"/>
        <v/>
      </c>
      <c r="BH310" t="str">
        <f t="shared" si="646"/>
        <v/>
      </c>
    </row>
    <row r="311" spans="43:60">
      <c r="AQ311" t="str">
        <f t="shared" si="651"/>
        <v/>
      </c>
      <c r="AR311" t="str">
        <f t="shared" si="647"/>
        <v/>
      </c>
      <c r="AS311" t="str">
        <f t="shared" si="648"/>
        <v/>
      </c>
      <c r="AT311" t="str">
        <f t="shared" si="649"/>
        <v/>
      </c>
      <c r="AU311" t="str">
        <f t="shared" si="634"/>
        <v/>
      </c>
      <c r="AV311" t="str">
        <f t="shared" si="635"/>
        <v/>
      </c>
      <c r="AW311" t="str">
        <f t="shared" si="636"/>
        <v/>
      </c>
      <c r="AX311" t="str">
        <f t="shared" si="637"/>
        <v/>
      </c>
      <c r="AY311" t="str">
        <f t="shared" si="638"/>
        <v/>
      </c>
      <c r="AZ311" t="str">
        <f t="shared" si="639"/>
        <v/>
      </c>
      <c r="BA311" t="str">
        <f t="shared" si="640"/>
        <v/>
      </c>
      <c r="BB311" t="str">
        <f t="shared" si="641"/>
        <v/>
      </c>
      <c r="BC311" t="str">
        <f t="shared" si="642"/>
        <v/>
      </c>
      <c r="BD311" t="str">
        <f t="shared" si="643"/>
        <v/>
      </c>
      <c r="BE311" t="str">
        <f t="shared" si="644"/>
        <v/>
      </c>
      <c r="BF311" t="str">
        <f t="shared" si="645"/>
        <v/>
      </c>
      <c r="BG311" t="str">
        <f t="shared" si="650"/>
        <v/>
      </c>
      <c r="BH311" t="str">
        <f t="shared" si="646"/>
        <v/>
      </c>
    </row>
    <row r="312" spans="43:60">
      <c r="AQ312" t="str">
        <f t="shared" si="651"/>
        <v/>
      </c>
      <c r="AR312" t="str">
        <f t="shared" si="647"/>
        <v/>
      </c>
      <c r="AS312" t="str">
        <f t="shared" si="648"/>
        <v/>
      </c>
      <c r="AT312" t="str">
        <f t="shared" si="649"/>
        <v/>
      </c>
      <c r="AU312" t="str">
        <f t="shared" si="634"/>
        <v/>
      </c>
      <c r="AV312" t="str">
        <f t="shared" si="635"/>
        <v/>
      </c>
      <c r="AW312" t="str">
        <f t="shared" si="636"/>
        <v/>
      </c>
      <c r="AX312" t="str">
        <f t="shared" si="637"/>
        <v/>
      </c>
      <c r="AY312" t="str">
        <f t="shared" si="638"/>
        <v/>
      </c>
      <c r="AZ312" t="str">
        <f t="shared" si="639"/>
        <v/>
      </c>
      <c r="BA312" t="str">
        <f t="shared" si="640"/>
        <v/>
      </c>
      <c r="BB312" t="str">
        <f t="shared" si="641"/>
        <v/>
      </c>
      <c r="BC312" t="str">
        <f t="shared" si="642"/>
        <v/>
      </c>
      <c r="BD312" t="str">
        <f t="shared" si="643"/>
        <v/>
      </c>
      <c r="BE312" t="str">
        <f t="shared" si="644"/>
        <v/>
      </c>
      <c r="BF312" t="str">
        <f t="shared" si="645"/>
        <v/>
      </c>
      <c r="BG312" t="str">
        <f t="shared" si="650"/>
        <v/>
      </c>
      <c r="BH312" t="str">
        <f t="shared" si="646"/>
        <v/>
      </c>
    </row>
    <row r="313" spans="43:60">
      <c r="AQ313" t="str">
        <f t="shared" ref="AQ313:AQ376" si="652" xml:space="preserve"> IF( AQ312&lt;&gt;"", IF( AQ312&lt;$AR$175, AQ312+1, "" ), "" )</f>
        <v/>
      </c>
      <c r="AR313" t="str">
        <f t="shared" si="647"/>
        <v/>
      </c>
      <c r="AS313" t="str">
        <f t="shared" si="648"/>
        <v/>
      </c>
      <c r="AT313" t="str">
        <f t="shared" si="649"/>
        <v/>
      </c>
      <c r="AU313" t="str">
        <f t="shared" si="634"/>
        <v/>
      </c>
      <c r="AV313" t="str">
        <f t="shared" si="635"/>
        <v/>
      </c>
      <c r="AW313" t="str">
        <f t="shared" si="636"/>
        <v/>
      </c>
      <c r="AX313" t="str">
        <f t="shared" si="637"/>
        <v/>
      </c>
      <c r="AY313" t="str">
        <f t="shared" si="638"/>
        <v/>
      </c>
      <c r="AZ313" t="str">
        <f t="shared" si="639"/>
        <v/>
      </c>
      <c r="BA313" t="str">
        <f t="shared" si="640"/>
        <v/>
      </c>
      <c r="BB313" t="str">
        <f t="shared" si="641"/>
        <v/>
      </c>
      <c r="BC313" t="str">
        <f t="shared" si="642"/>
        <v/>
      </c>
      <c r="BD313" t="str">
        <f t="shared" si="643"/>
        <v/>
      </c>
      <c r="BE313" t="str">
        <f t="shared" si="644"/>
        <v/>
      </c>
      <c r="BF313" t="str">
        <f t="shared" si="645"/>
        <v/>
      </c>
      <c r="BG313" t="str">
        <f t="shared" si="650"/>
        <v/>
      </c>
      <c r="BH313" t="str">
        <f t="shared" si="646"/>
        <v/>
      </c>
    </row>
    <row r="314" spans="43:60">
      <c r="AQ314" t="str">
        <f t="shared" si="652"/>
        <v/>
      </c>
      <c r="AR314" t="str">
        <f t="shared" si="647"/>
        <v/>
      </c>
      <c r="AS314" t="str">
        <f t="shared" si="648"/>
        <v/>
      </c>
      <c r="AT314" t="str">
        <f t="shared" si="649"/>
        <v/>
      </c>
      <c r="AU314" t="str">
        <f t="shared" si="634"/>
        <v/>
      </c>
      <c r="AV314" t="str">
        <f t="shared" si="635"/>
        <v/>
      </c>
      <c r="AW314" t="str">
        <f t="shared" si="636"/>
        <v/>
      </c>
      <c r="AX314" t="str">
        <f t="shared" si="637"/>
        <v/>
      </c>
      <c r="AY314" t="str">
        <f t="shared" si="638"/>
        <v/>
      </c>
      <c r="AZ314" t="str">
        <f t="shared" si="639"/>
        <v/>
      </c>
      <c r="BA314" t="str">
        <f t="shared" si="640"/>
        <v/>
      </c>
      <c r="BB314" t="str">
        <f t="shared" si="641"/>
        <v/>
      </c>
      <c r="BC314" t="str">
        <f t="shared" si="642"/>
        <v/>
      </c>
      <c r="BD314" t="str">
        <f t="shared" si="643"/>
        <v/>
      </c>
      <c r="BE314" t="str">
        <f t="shared" si="644"/>
        <v/>
      </c>
      <c r="BF314" t="str">
        <f t="shared" si="645"/>
        <v/>
      </c>
      <c r="BG314" t="str">
        <f t="shared" si="650"/>
        <v/>
      </c>
      <c r="BH314" t="str">
        <f t="shared" si="646"/>
        <v/>
      </c>
    </row>
    <row r="315" spans="43:60">
      <c r="AQ315" t="str">
        <f t="shared" si="652"/>
        <v/>
      </c>
      <c r="AR315" t="str">
        <f t="shared" si="647"/>
        <v/>
      </c>
      <c r="AS315" t="str">
        <f t="shared" si="648"/>
        <v/>
      </c>
      <c r="AT315" t="str">
        <f t="shared" si="649"/>
        <v/>
      </c>
      <c r="AU315" t="str">
        <f t="shared" si="634"/>
        <v/>
      </c>
      <c r="AV315" t="str">
        <f t="shared" si="635"/>
        <v/>
      </c>
      <c r="AW315" t="str">
        <f t="shared" si="636"/>
        <v/>
      </c>
      <c r="AX315" t="str">
        <f t="shared" si="637"/>
        <v/>
      </c>
      <c r="AY315" t="str">
        <f t="shared" si="638"/>
        <v/>
      </c>
      <c r="AZ315" t="str">
        <f t="shared" si="639"/>
        <v/>
      </c>
      <c r="BA315" t="str">
        <f t="shared" si="640"/>
        <v/>
      </c>
      <c r="BB315" t="str">
        <f t="shared" si="641"/>
        <v/>
      </c>
      <c r="BC315" t="str">
        <f t="shared" si="642"/>
        <v/>
      </c>
      <c r="BD315" t="str">
        <f t="shared" si="643"/>
        <v/>
      </c>
      <c r="BE315" t="str">
        <f t="shared" si="644"/>
        <v/>
      </c>
      <c r="BF315" t="str">
        <f t="shared" si="645"/>
        <v/>
      </c>
      <c r="BG315" t="str">
        <f t="shared" si="650"/>
        <v/>
      </c>
      <c r="BH315" t="str">
        <f t="shared" si="646"/>
        <v/>
      </c>
    </row>
    <row r="316" spans="43:60">
      <c r="AQ316" t="str">
        <f t="shared" si="652"/>
        <v/>
      </c>
      <c r="AR316" t="str">
        <f t="shared" si="647"/>
        <v/>
      </c>
      <c r="AS316" t="str">
        <f t="shared" si="648"/>
        <v/>
      </c>
      <c r="AT316" t="str">
        <f t="shared" si="649"/>
        <v/>
      </c>
      <c r="AU316" t="str">
        <f t="shared" si="634"/>
        <v/>
      </c>
      <c r="AV316" t="str">
        <f t="shared" si="635"/>
        <v/>
      </c>
      <c r="AW316" t="str">
        <f t="shared" si="636"/>
        <v/>
      </c>
      <c r="AX316" t="str">
        <f t="shared" si="637"/>
        <v/>
      </c>
      <c r="AY316" t="str">
        <f t="shared" si="638"/>
        <v/>
      </c>
      <c r="AZ316" t="str">
        <f t="shared" si="639"/>
        <v/>
      </c>
      <c r="BA316" t="str">
        <f t="shared" si="640"/>
        <v/>
      </c>
      <c r="BB316" t="str">
        <f t="shared" si="641"/>
        <v/>
      </c>
      <c r="BC316" t="str">
        <f t="shared" si="642"/>
        <v/>
      </c>
      <c r="BD316" t="str">
        <f t="shared" si="643"/>
        <v/>
      </c>
      <c r="BE316" t="str">
        <f t="shared" si="644"/>
        <v/>
      </c>
      <c r="BF316" t="str">
        <f t="shared" si="645"/>
        <v/>
      </c>
      <c r="BG316" t="str">
        <f t="shared" si="650"/>
        <v/>
      </c>
      <c r="BH316" t="str">
        <f t="shared" si="646"/>
        <v/>
      </c>
    </row>
    <row r="317" spans="43:60">
      <c r="AQ317" t="str">
        <f t="shared" si="652"/>
        <v/>
      </c>
      <c r="AR317" t="str">
        <f t="shared" si="647"/>
        <v/>
      </c>
      <c r="AS317" t="str">
        <f t="shared" si="648"/>
        <v/>
      </c>
      <c r="AT317" t="str">
        <f t="shared" si="649"/>
        <v/>
      </c>
      <c r="AU317" t="str">
        <f t="shared" si="634"/>
        <v/>
      </c>
      <c r="AV317" t="str">
        <f t="shared" si="635"/>
        <v/>
      </c>
      <c r="AW317" t="str">
        <f t="shared" si="636"/>
        <v/>
      </c>
      <c r="AX317" t="str">
        <f t="shared" si="637"/>
        <v/>
      </c>
      <c r="AY317" t="str">
        <f t="shared" si="638"/>
        <v/>
      </c>
      <c r="AZ317" t="str">
        <f t="shared" si="639"/>
        <v/>
      </c>
      <c r="BA317" t="str">
        <f t="shared" si="640"/>
        <v/>
      </c>
      <c r="BB317" t="str">
        <f t="shared" si="641"/>
        <v/>
      </c>
      <c r="BC317" t="str">
        <f t="shared" si="642"/>
        <v/>
      </c>
      <c r="BD317" t="str">
        <f t="shared" si="643"/>
        <v/>
      </c>
      <c r="BE317" t="str">
        <f t="shared" si="644"/>
        <v/>
      </c>
      <c r="BF317" t="str">
        <f t="shared" si="645"/>
        <v/>
      </c>
      <c r="BG317" t="str">
        <f t="shared" si="650"/>
        <v/>
      </c>
      <c r="BH317" t="str">
        <f t="shared" si="646"/>
        <v/>
      </c>
    </row>
    <row r="318" spans="43:60">
      <c r="AQ318" t="str">
        <f t="shared" si="652"/>
        <v/>
      </c>
      <c r="AR318" t="str">
        <f t="shared" si="647"/>
        <v/>
      </c>
      <c r="AS318" t="str">
        <f t="shared" si="648"/>
        <v/>
      </c>
      <c r="AT318" t="str">
        <f t="shared" si="649"/>
        <v/>
      </c>
      <c r="AU318" t="str">
        <f t="shared" si="634"/>
        <v/>
      </c>
      <c r="AV318" t="str">
        <f t="shared" si="635"/>
        <v/>
      </c>
      <c r="AW318" t="str">
        <f t="shared" si="636"/>
        <v/>
      </c>
      <c r="AX318" t="str">
        <f t="shared" si="637"/>
        <v/>
      </c>
      <c r="AY318" t="str">
        <f t="shared" si="638"/>
        <v/>
      </c>
      <c r="AZ318" t="str">
        <f t="shared" si="639"/>
        <v/>
      </c>
      <c r="BA318" t="str">
        <f t="shared" si="640"/>
        <v/>
      </c>
      <c r="BB318" t="str">
        <f t="shared" si="641"/>
        <v/>
      </c>
      <c r="BC318" t="str">
        <f t="shared" si="642"/>
        <v/>
      </c>
      <c r="BD318" t="str">
        <f t="shared" si="643"/>
        <v/>
      </c>
      <c r="BE318" t="str">
        <f t="shared" si="644"/>
        <v/>
      </c>
      <c r="BF318" t="str">
        <f t="shared" si="645"/>
        <v/>
      </c>
      <c r="BG318" t="str">
        <f t="shared" si="650"/>
        <v/>
      </c>
      <c r="BH318" t="str">
        <f t="shared" si="646"/>
        <v/>
      </c>
    </row>
    <row r="319" spans="43:60">
      <c r="AQ319" t="str">
        <f t="shared" si="652"/>
        <v/>
      </c>
      <c r="AR319" t="str">
        <f t="shared" si="647"/>
        <v/>
      </c>
      <c r="AS319" t="str">
        <f t="shared" si="648"/>
        <v/>
      </c>
      <c r="AT319" t="str">
        <f t="shared" si="649"/>
        <v/>
      </c>
      <c r="AU319" t="str">
        <f t="shared" si="634"/>
        <v/>
      </c>
      <c r="AV319" t="str">
        <f t="shared" si="635"/>
        <v/>
      </c>
      <c r="AW319" t="str">
        <f t="shared" si="636"/>
        <v/>
      </c>
      <c r="AX319" t="str">
        <f t="shared" si="637"/>
        <v/>
      </c>
      <c r="AY319" t="str">
        <f t="shared" si="638"/>
        <v/>
      </c>
      <c r="AZ319" t="str">
        <f t="shared" si="639"/>
        <v/>
      </c>
      <c r="BA319" t="str">
        <f t="shared" si="640"/>
        <v/>
      </c>
      <c r="BB319" t="str">
        <f t="shared" si="641"/>
        <v/>
      </c>
      <c r="BC319" t="str">
        <f t="shared" si="642"/>
        <v/>
      </c>
      <c r="BD319" t="str">
        <f t="shared" si="643"/>
        <v/>
      </c>
      <c r="BE319" t="str">
        <f t="shared" si="644"/>
        <v/>
      </c>
      <c r="BF319" t="str">
        <f t="shared" si="645"/>
        <v/>
      </c>
      <c r="BG319" t="str">
        <f t="shared" si="650"/>
        <v/>
      </c>
      <c r="BH319" t="str">
        <f t="shared" si="646"/>
        <v/>
      </c>
    </row>
    <row r="320" spans="43:60">
      <c r="AQ320" t="str">
        <f t="shared" si="652"/>
        <v/>
      </c>
      <c r="AR320" t="str">
        <f t="shared" si="647"/>
        <v/>
      </c>
      <c r="AS320" t="str">
        <f t="shared" si="648"/>
        <v/>
      </c>
      <c r="AT320" t="str">
        <f t="shared" si="649"/>
        <v/>
      </c>
      <c r="AU320" t="str">
        <f t="shared" si="634"/>
        <v/>
      </c>
      <c r="AV320" t="str">
        <f t="shared" si="635"/>
        <v/>
      </c>
      <c r="AW320" t="str">
        <f t="shared" si="636"/>
        <v/>
      </c>
      <c r="AX320" t="str">
        <f t="shared" si="637"/>
        <v/>
      </c>
      <c r="AY320" t="str">
        <f t="shared" si="638"/>
        <v/>
      </c>
      <c r="AZ320" t="str">
        <f t="shared" si="639"/>
        <v/>
      </c>
      <c r="BA320" t="str">
        <f t="shared" si="640"/>
        <v/>
      </c>
      <c r="BB320" t="str">
        <f t="shared" si="641"/>
        <v/>
      </c>
      <c r="BC320" t="str">
        <f t="shared" si="642"/>
        <v/>
      </c>
      <c r="BD320" t="str">
        <f t="shared" si="643"/>
        <v/>
      </c>
      <c r="BE320" t="str">
        <f t="shared" si="644"/>
        <v/>
      </c>
      <c r="BF320" t="str">
        <f t="shared" si="645"/>
        <v/>
      </c>
      <c r="BG320" t="str">
        <f t="shared" si="650"/>
        <v/>
      </c>
      <c r="BH320" t="str">
        <f t="shared" si="646"/>
        <v/>
      </c>
    </row>
    <row r="321" spans="43:60">
      <c r="AQ321" t="str">
        <f t="shared" si="652"/>
        <v/>
      </c>
      <c r="AR321" t="str">
        <f t="shared" si="647"/>
        <v/>
      </c>
      <c r="AS321" t="str">
        <f t="shared" si="648"/>
        <v/>
      </c>
      <c r="AT321" t="str">
        <f t="shared" si="649"/>
        <v/>
      </c>
      <c r="AU321" t="str">
        <f t="shared" si="634"/>
        <v/>
      </c>
      <c r="AV321" t="str">
        <f t="shared" si="635"/>
        <v/>
      </c>
      <c r="AW321" t="str">
        <f t="shared" si="636"/>
        <v/>
      </c>
      <c r="AX321" t="str">
        <f t="shared" si="637"/>
        <v/>
      </c>
      <c r="AY321" t="str">
        <f t="shared" si="638"/>
        <v/>
      </c>
      <c r="AZ321" t="str">
        <f t="shared" si="639"/>
        <v/>
      </c>
      <c r="BA321" t="str">
        <f t="shared" si="640"/>
        <v/>
      </c>
      <c r="BB321" t="str">
        <f t="shared" si="641"/>
        <v/>
      </c>
      <c r="BC321" t="str">
        <f t="shared" si="642"/>
        <v/>
      </c>
      <c r="BD321" t="str">
        <f t="shared" si="643"/>
        <v/>
      </c>
      <c r="BE321" t="str">
        <f t="shared" si="644"/>
        <v/>
      </c>
      <c r="BF321" t="str">
        <f t="shared" si="645"/>
        <v/>
      </c>
      <c r="BG321" t="str">
        <f t="shared" si="650"/>
        <v/>
      </c>
      <c r="BH321" t="str">
        <f t="shared" si="646"/>
        <v/>
      </c>
    </row>
    <row r="322" spans="43:60">
      <c r="AQ322" t="str">
        <f t="shared" si="652"/>
        <v/>
      </c>
      <c r="AR322" t="str">
        <f t="shared" si="647"/>
        <v/>
      </c>
      <c r="AS322" t="str">
        <f t="shared" si="648"/>
        <v/>
      </c>
      <c r="AT322" t="str">
        <f t="shared" si="649"/>
        <v/>
      </c>
      <c r="AU322" t="str">
        <f t="shared" si="634"/>
        <v/>
      </c>
      <c r="AV322" t="str">
        <f t="shared" si="635"/>
        <v/>
      </c>
      <c r="AW322" t="str">
        <f t="shared" si="636"/>
        <v/>
      </c>
      <c r="AX322" t="str">
        <f t="shared" si="637"/>
        <v/>
      </c>
      <c r="AY322" t="str">
        <f t="shared" si="638"/>
        <v/>
      </c>
      <c r="AZ322" t="str">
        <f t="shared" si="639"/>
        <v/>
      </c>
      <c r="BA322" t="str">
        <f t="shared" si="640"/>
        <v/>
      </c>
      <c r="BB322" t="str">
        <f t="shared" si="641"/>
        <v/>
      </c>
      <c r="BC322" t="str">
        <f t="shared" si="642"/>
        <v/>
      </c>
      <c r="BD322" t="str">
        <f t="shared" si="643"/>
        <v/>
      </c>
      <c r="BE322" t="str">
        <f t="shared" si="644"/>
        <v/>
      </c>
      <c r="BF322" t="str">
        <f t="shared" si="645"/>
        <v/>
      </c>
      <c r="BG322" t="str">
        <f t="shared" si="650"/>
        <v/>
      </c>
      <c r="BH322" t="str">
        <f t="shared" si="646"/>
        <v/>
      </c>
    </row>
    <row r="323" spans="43:60">
      <c r="AQ323" t="str">
        <f t="shared" si="652"/>
        <v/>
      </c>
      <c r="AR323" t="str">
        <f t="shared" si="647"/>
        <v/>
      </c>
      <c r="AS323" t="str">
        <f t="shared" si="648"/>
        <v/>
      </c>
      <c r="AT323" t="str">
        <f t="shared" si="649"/>
        <v/>
      </c>
      <c r="AU323" t="str">
        <f t="shared" si="634"/>
        <v/>
      </c>
      <c r="AV323" t="str">
        <f t="shared" si="635"/>
        <v/>
      </c>
      <c r="AW323" t="str">
        <f t="shared" si="636"/>
        <v/>
      </c>
      <c r="AX323" t="str">
        <f t="shared" si="637"/>
        <v/>
      </c>
      <c r="AY323" t="str">
        <f t="shared" si="638"/>
        <v/>
      </c>
      <c r="AZ323" t="str">
        <f t="shared" si="639"/>
        <v/>
      </c>
      <c r="BA323" t="str">
        <f t="shared" si="640"/>
        <v/>
      </c>
      <c r="BB323" t="str">
        <f t="shared" si="641"/>
        <v/>
      </c>
      <c r="BC323" t="str">
        <f t="shared" si="642"/>
        <v/>
      </c>
      <c r="BD323" t="str">
        <f t="shared" si="643"/>
        <v/>
      </c>
      <c r="BE323" t="str">
        <f t="shared" si="644"/>
        <v/>
      </c>
      <c r="BF323" t="str">
        <f t="shared" si="645"/>
        <v/>
      </c>
      <c r="BG323" t="str">
        <f t="shared" si="650"/>
        <v/>
      </c>
      <c r="BH323" t="str">
        <f t="shared" si="646"/>
        <v/>
      </c>
    </row>
    <row r="324" spans="43:60">
      <c r="AQ324" t="str">
        <f t="shared" si="652"/>
        <v/>
      </c>
      <c r="AR324" t="str">
        <f t="shared" si="647"/>
        <v/>
      </c>
      <c r="AS324" t="str">
        <f t="shared" si="648"/>
        <v/>
      </c>
      <c r="AT324" t="str">
        <f t="shared" si="649"/>
        <v/>
      </c>
      <c r="AU324" t="str">
        <f t="shared" si="634"/>
        <v/>
      </c>
      <c r="AV324" t="str">
        <f t="shared" si="635"/>
        <v/>
      </c>
      <c r="AW324" t="str">
        <f t="shared" si="636"/>
        <v/>
      </c>
      <c r="AX324" t="str">
        <f t="shared" si="637"/>
        <v/>
      </c>
      <c r="AY324" t="str">
        <f t="shared" si="638"/>
        <v/>
      </c>
      <c r="AZ324" t="str">
        <f t="shared" si="639"/>
        <v/>
      </c>
      <c r="BA324" t="str">
        <f t="shared" si="640"/>
        <v/>
      </c>
      <c r="BB324" t="str">
        <f t="shared" si="641"/>
        <v/>
      </c>
      <c r="BC324" t="str">
        <f t="shared" si="642"/>
        <v/>
      </c>
      <c r="BD324" t="str">
        <f t="shared" si="643"/>
        <v/>
      </c>
      <c r="BE324" t="str">
        <f t="shared" si="644"/>
        <v/>
      </c>
      <c r="BF324" t="str">
        <f t="shared" si="645"/>
        <v/>
      </c>
      <c r="BG324" t="str">
        <f t="shared" si="650"/>
        <v/>
      </c>
      <c r="BH324" t="str">
        <f t="shared" si="646"/>
        <v/>
      </c>
    </row>
    <row r="325" spans="43:60">
      <c r="AQ325" t="str">
        <f t="shared" si="652"/>
        <v/>
      </c>
      <c r="AR325" t="str">
        <f t="shared" si="647"/>
        <v/>
      </c>
      <c r="AS325" t="str">
        <f t="shared" si="648"/>
        <v/>
      </c>
      <c r="AT325" t="str">
        <f t="shared" si="649"/>
        <v/>
      </c>
      <c r="AU325" t="str">
        <f t="shared" si="634"/>
        <v/>
      </c>
      <c r="AV325" t="str">
        <f t="shared" si="635"/>
        <v/>
      </c>
      <c r="AW325" t="str">
        <f t="shared" si="636"/>
        <v/>
      </c>
      <c r="AX325" t="str">
        <f t="shared" si="637"/>
        <v/>
      </c>
      <c r="AY325" t="str">
        <f t="shared" si="638"/>
        <v/>
      </c>
      <c r="AZ325" t="str">
        <f t="shared" si="639"/>
        <v/>
      </c>
      <c r="BA325" t="str">
        <f t="shared" si="640"/>
        <v/>
      </c>
      <c r="BB325" t="str">
        <f t="shared" si="641"/>
        <v/>
      </c>
      <c r="BC325" t="str">
        <f t="shared" si="642"/>
        <v/>
      </c>
      <c r="BD325" t="str">
        <f t="shared" si="643"/>
        <v/>
      </c>
      <c r="BE325" t="str">
        <f t="shared" si="644"/>
        <v/>
      </c>
      <c r="BF325" t="str">
        <f t="shared" si="645"/>
        <v/>
      </c>
      <c r="BG325" t="str">
        <f t="shared" si="650"/>
        <v/>
      </c>
      <c r="BH325" t="str">
        <f t="shared" si="646"/>
        <v/>
      </c>
    </row>
    <row r="326" spans="43:60">
      <c r="AQ326" t="str">
        <f t="shared" si="652"/>
        <v/>
      </c>
      <c r="AR326" t="str">
        <f t="shared" si="647"/>
        <v/>
      </c>
      <c r="AS326" t="str">
        <f t="shared" si="648"/>
        <v/>
      </c>
      <c r="AT326" t="str">
        <f t="shared" si="649"/>
        <v/>
      </c>
      <c r="AU326" t="str">
        <f t="shared" si="634"/>
        <v/>
      </c>
      <c r="AV326" t="str">
        <f t="shared" si="635"/>
        <v/>
      </c>
      <c r="AW326" t="str">
        <f t="shared" si="636"/>
        <v/>
      </c>
      <c r="AX326" t="str">
        <f t="shared" si="637"/>
        <v/>
      </c>
      <c r="AY326" t="str">
        <f t="shared" si="638"/>
        <v/>
      </c>
      <c r="AZ326" t="str">
        <f t="shared" si="639"/>
        <v/>
      </c>
      <c r="BA326" t="str">
        <f t="shared" si="640"/>
        <v/>
      </c>
      <c r="BB326" t="str">
        <f t="shared" si="641"/>
        <v/>
      </c>
      <c r="BC326" t="str">
        <f t="shared" si="642"/>
        <v/>
      </c>
      <c r="BD326" t="str">
        <f t="shared" si="643"/>
        <v/>
      </c>
      <c r="BE326" t="str">
        <f t="shared" si="644"/>
        <v/>
      </c>
      <c r="BF326" t="str">
        <f t="shared" si="645"/>
        <v/>
      </c>
      <c r="BG326" t="str">
        <f t="shared" si="650"/>
        <v/>
      </c>
      <c r="BH326" t="str">
        <f t="shared" si="646"/>
        <v/>
      </c>
    </row>
    <row r="327" spans="43:60">
      <c r="AQ327" t="str">
        <f t="shared" si="652"/>
        <v/>
      </c>
      <c r="AR327" t="str">
        <f t="shared" si="647"/>
        <v/>
      </c>
      <c r="AS327" t="str">
        <f t="shared" si="648"/>
        <v/>
      </c>
      <c r="AT327" t="str">
        <f t="shared" si="649"/>
        <v/>
      </c>
      <c r="AU327" t="str">
        <f t="shared" si="634"/>
        <v/>
      </c>
      <c r="AV327" t="str">
        <f t="shared" si="635"/>
        <v/>
      </c>
      <c r="AW327" t="str">
        <f t="shared" si="636"/>
        <v/>
      </c>
      <c r="AX327" t="str">
        <f t="shared" si="637"/>
        <v/>
      </c>
      <c r="AY327" t="str">
        <f t="shared" si="638"/>
        <v/>
      </c>
      <c r="AZ327" t="str">
        <f t="shared" si="639"/>
        <v/>
      </c>
      <c r="BA327" t="str">
        <f t="shared" si="640"/>
        <v/>
      </c>
      <c r="BB327" t="str">
        <f t="shared" si="641"/>
        <v/>
      </c>
      <c r="BC327" t="str">
        <f t="shared" si="642"/>
        <v/>
      </c>
      <c r="BD327" t="str">
        <f t="shared" si="643"/>
        <v/>
      </c>
      <c r="BE327" t="str">
        <f t="shared" si="644"/>
        <v/>
      </c>
      <c r="BF327" t="str">
        <f t="shared" si="645"/>
        <v/>
      </c>
      <c r="BG327" t="str">
        <f t="shared" si="650"/>
        <v/>
      </c>
      <c r="BH327" t="str">
        <f t="shared" si="646"/>
        <v/>
      </c>
    </row>
    <row r="328" spans="43:60">
      <c r="AQ328" t="str">
        <f t="shared" si="652"/>
        <v/>
      </c>
      <c r="AR328" t="str">
        <f t="shared" si="647"/>
        <v/>
      </c>
      <c r="AS328" t="str">
        <f t="shared" si="648"/>
        <v/>
      </c>
      <c r="AT328" t="str">
        <f t="shared" si="649"/>
        <v/>
      </c>
      <c r="AU328" t="str">
        <f t="shared" si="634"/>
        <v/>
      </c>
      <c r="AV328" t="str">
        <f t="shared" si="635"/>
        <v/>
      </c>
      <c r="AW328" t="str">
        <f t="shared" si="636"/>
        <v/>
      </c>
      <c r="AX328" t="str">
        <f t="shared" si="637"/>
        <v/>
      </c>
      <c r="AY328" t="str">
        <f t="shared" si="638"/>
        <v/>
      </c>
      <c r="AZ328" t="str">
        <f t="shared" si="639"/>
        <v/>
      </c>
      <c r="BA328" t="str">
        <f t="shared" si="640"/>
        <v/>
      </c>
      <c r="BB328" t="str">
        <f t="shared" si="641"/>
        <v/>
      </c>
      <c r="BC328" t="str">
        <f t="shared" si="642"/>
        <v/>
      </c>
      <c r="BD328" t="str">
        <f t="shared" si="643"/>
        <v/>
      </c>
      <c r="BE328" t="str">
        <f t="shared" si="644"/>
        <v/>
      </c>
      <c r="BF328" t="str">
        <f t="shared" si="645"/>
        <v/>
      </c>
      <c r="BG328" t="str">
        <f t="shared" si="650"/>
        <v/>
      </c>
      <c r="BH328" t="str">
        <f t="shared" si="646"/>
        <v/>
      </c>
    </row>
    <row r="329" spans="43:60">
      <c r="AQ329" t="str">
        <f t="shared" si="652"/>
        <v/>
      </c>
      <c r="AR329" t="str">
        <f t="shared" si="647"/>
        <v/>
      </c>
      <c r="AS329" t="str">
        <f t="shared" si="648"/>
        <v/>
      </c>
      <c r="AT329" t="str">
        <f t="shared" si="649"/>
        <v/>
      </c>
      <c r="AU329" t="str">
        <f t="shared" si="634"/>
        <v/>
      </c>
      <c r="AV329" t="str">
        <f t="shared" si="635"/>
        <v/>
      </c>
      <c r="AW329" t="str">
        <f t="shared" si="636"/>
        <v/>
      </c>
      <c r="AX329" t="str">
        <f t="shared" si="637"/>
        <v/>
      </c>
      <c r="AY329" t="str">
        <f t="shared" si="638"/>
        <v/>
      </c>
      <c r="AZ329" t="str">
        <f t="shared" si="639"/>
        <v/>
      </c>
      <c r="BA329" t="str">
        <f t="shared" si="640"/>
        <v/>
      </c>
      <c r="BB329" t="str">
        <f t="shared" si="641"/>
        <v/>
      </c>
      <c r="BC329" t="str">
        <f t="shared" si="642"/>
        <v/>
      </c>
      <c r="BD329" t="str">
        <f t="shared" si="643"/>
        <v/>
      </c>
      <c r="BE329" t="str">
        <f t="shared" si="644"/>
        <v/>
      </c>
      <c r="BF329" t="str">
        <f t="shared" si="645"/>
        <v/>
      </c>
      <c r="BG329" t="str">
        <f t="shared" si="650"/>
        <v/>
      </c>
      <c r="BH329" t="str">
        <f t="shared" si="646"/>
        <v/>
      </c>
    </row>
    <row r="330" spans="43:60">
      <c r="AQ330" t="str">
        <f t="shared" si="652"/>
        <v/>
      </c>
      <c r="AR330" t="str">
        <f t="shared" si="647"/>
        <v/>
      </c>
      <c r="AS330" t="str">
        <f t="shared" si="648"/>
        <v/>
      </c>
      <c r="AT330" t="str">
        <f t="shared" si="649"/>
        <v/>
      </c>
      <c r="AU330" t="str">
        <f t="shared" si="634"/>
        <v/>
      </c>
      <c r="AV330" t="str">
        <f t="shared" si="635"/>
        <v/>
      </c>
      <c r="AW330" t="str">
        <f t="shared" si="636"/>
        <v/>
      </c>
      <c r="AX330" t="str">
        <f t="shared" si="637"/>
        <v/>
      </c>
      <c r="AY330" t="str">
        <f t="shared" si="638"/>
        <v/>
      </c>
      <c r="AZ330" t="str">
        <f t="shared" si="639"/>
        <v/>
      </c>
      <c r="BA330" t="str">
        <f t="shared" si="640"/>
        <v/>
      </c>
      <c r="BB330" t="str">
        <f t="shared" si="641"/>
        <v/>
      </c>
      <c r="BC330" t="str">
        <f t="shared" si="642"/>
        <v/>
      </c>
      <c r="BD330" t="str">
        <f t="shared" si="643"/>
        <v/>
      </c>
      <c r="BE330" t="str">
        <f t="shared" si="644"/>
        <v/>
      </c>
      <c r="BF330" t="str">
        <f t="shared" si="645"/>
        <v/>
      </c>
      <c r="BG330" t="str">
        <f t="shared" si="650"/>
        <v/>
      </c>
      <c r="BH330" t="str">
        <f t="shared" si="646"/>
        <v/>
      </c>
    </row>
    <row r="331" spans="43:60">
      <c r="AQ331" t="str">
        <f t="shared" si="652"/>
        <v/>
      </c>
      <c r="AR331" t="str">
        <f t="shared" si="647"/>
        <v/>
      </c>
      <c r="AS331" t="str">
        <f t="shared" si="648"/>
        <v/>
      </c>
      <c r="AT331" t="str">
        <f t="shared" si="649"/>
        <v/>
      </c>
      <c r="AU331" t="str">
        <f t="shared" si="634"/>
        <v/>
      </c>
      <c r="AV331" t="str">
        <f t="shared" si="635"/>
        <v/>
      </c>
      <c r="AW331" t="str">
        <f t="shared" si="636"/>
        <v/>
      </c>
      <c r="AX331" t="str">
        <f t="shared" si="637"/>
        <v/>
      </c>
      <c r="AY331" t="str">
        <f t="shared" si="638"/>
        <v/>
      </c>
      <c r="AZ331" t="str">
        <f t="shared" si="639"/>
        <v/>
      </c>
      <c r="BA331" t="str">
        <f t="shared" si="640"/>
        <v/>
      </c>
      <c r="BB331" t="str">
        <f t="shared" si="641"/>
        <v/>
      </c>
      <c r="BC331" t="str">
        <f t="shared" si="642"/>
        <v/>
      </c>
      <c r="BD331" t="str">
        <f t="shared" si="643"/>
        <v/>
      </c>
      <c r="BE331" t="str">
        <f t="shared" si="644"/>
        <v/>
      </c>
      <c r="BF331" t="str">
        <f t="shared" si="645"/>
        <v/>
      </c>
      <c r="BG331" t="str">
        <f t="shared" si="650"/>
        <v/>
      </c>
      <c r="BH331" t="str">
        <f t="shared" si="646"/>
        <v/>
      </c>
    </row>
    <row r="332" spans="43:60">
      <c r="AQ332" t="str">
        <f t="shared" si="652"/>
        <v/>
      </c>
      <c r="AR332" t="str">
        <f t="shared" si="647"/>
        <v/>
      </c>
      <c r="AS332" t="str">
        <f t="shared" si="648"/>
        <v/>
      </c>
      <c r="AT332" t="str">
        <f t="shared" si="649"/>
        <v/>
      </c>
      <c r="AU332" t="str">
        <f t="shared" si="634"/>
        <v/>
      </c>
      <c r="AV332" t="str">
        <f t="shared" si="635"/>
        <v/>
      </c>
      <c r="AW332" t="str">
        <f t="shared" si="636"/>
        <v/>
      </c>
      <c r="AX332" t="str">
        <f t="shared" si="637"/>
        <v/>
      </c>
      <c r="AY332" t="str">
        <f t="shared" si="638"/>
        <v/>
      </c>
      <c r="AZ332" t="str">
        <f t="shared" si="639"/>
        <v/>
      </c>
      <c r="BA332" t="str">
        <f t="shared" si="640"/>
        <v/>
      </c>
      <c r="BB332" t="str">
        <f t="shared" si="641"/>
        <v/>
      </c>
      <c r="BC332" t="str">
        <f t="shared" si="642"/>
        <v/>
      </c>
      <c r="BD332" t="str">
        <f t="shared" si="643"/>
        <v/>
      </c>
      <c r="BE332" t="str">
        <f t="shared" si="644"/>
        <v/>
      </c>
      <c r="BF332" t="str">
        <f t="shared" si="645"/>
        <v/>
      </c>
      <c r="BG332" t="str">
        <f t="shared" si="650"/>
        <v/>
      </c>
      <c r="BH332" t="str">
        <f t="shared" si="646"/>
        <v/>
      </c>
    </row>
    <row r="333" spans="43:60">
      <c r="AQ333" t="str">
        <f t="shared" si="652"/>
        <v/>
      </c>
      <c r="AR333" t="str">
        <f t="shared" si="647"/>
        <v/>
      </c>
      <c r="AS333" t="str">
        <f t="shared" si="648"/>
        <v/>
      </c>
      <c r="AT333" t="str">
        <f t="shared" si="649"/>
        <v/>
      </c>
      <c r="AU333" t="str">
        <f t="shared" si="634"/>
        <v/>
      </c>
      <c r="AV333" t="str">
        <f t="shared" si="635"/>
        <v/>
      </c>
      <c r="AW333" t="str">
        <f t="shared" si="636"/>
        <v/>
      </c>
      <c r="AX333" t="str">
        <f t="shared" si="637"/>
        <v/>
      </c>
      <c r="AY333" t="str">
        <f t="shared" si="638"/>
        <v/>
      </c>
      <c r="AZ333" t="str">
        <f t="shared" si="639"/>
        <v/>
      </c>
      <c r="BA333" t="str">
        <f t="shared" si="640"/>
        <v/>
      </c>
      <c r="BB333" t="str">
        <f t="shared" si="641"/>
        <v/>
      </c>
      <c r="BC333" t="str">
        <f t="shared" si="642"/>
        <v/>
      </c>
      <c r="BD333" t="str">
        <f t="shared" si="643"/>
        <v/>
      </c>
      <c r="BE333" t="str">
        <f t="shared" si="644"/>
        <v/>
      </c>
      <c r="BF333" t="str">
        <f t="shared" si="645"/>
        <v/>
      </c>
      <c r="BG333" t="str">
        <f t="shared" si="650"/>
        <v/>
      </c>
      <c r="BH333" t="str">
        <f t="shared" si="646"/>
        <v/>
      </c>
    </row>
    <row r="334" spans="43:60">
      <c r="AQ334" t="str">
        <f t="shared" si="652"/>
        <v/>
      </c>
      <c r="AR334" t="str">
        <f t="shared" si="647"/>
        <v/>
      </c>
      <c r="AS334" t="str">
        <f t="shared" si="648"/>
        <v/>
      </c>
      <c r="AT334" t="str">
        <f t="shared" si="649"/>
        <v/>
      </c>
      <c r="AU334" t="str">
        <f t="shared" si="634"/>
        <v/>
      </c>
      <c r="AV334" t="str">
        <f t="shared" si="635"/>
        <v/>
      </c>
      <c r="AW334" t="str">
        <f t="shared" si="636"/>
        <v/>
      </c>
      <c r="AX334" t="str">
        <f t="shared" si="637"/>
        <v/>
      </c>
      <c r="AY334" t="str">
        <f t="shared" si="638"/>
        <v/>
      </c>
      <c r="AZ334" t="str">
        <f t="shared" si="639"/>
        <v/>
      </c>
      <c r="BA334" t="str">
        <f t="shared" si="640"/>
        <v/>
      </c>
      <c r="BB334" t="str">
        <f t="shared" si="641"/>
        <v/>
      </c>
      <c r="BC334" t="str">
        <f t="shared" si="642"/>
        <v/>
      </c>
      <c r="BD334" t="str">
        <f t="shared" si="643"/>
        <v/>
      </c>
      <c r="BE334" t="str">
        <f t="shared" si="644"/>
        <v/>
      </c>
      <c r="BF334" t="str">
        <f t="shared" si="645"/>
        <v/>
      </c>
      <c r="BG334" t="str">
        <f t="shared" si="650"/>
        <v/>
      </c>
      <c r="BH334" t="str">
        <f t="shared" si="646"/>
        <v/>
      </c>
    </row>
    <row r="335" spans="43:60">
      <c r="AQ335" t="str">
        <f t="shared" si="652"/>
        <v/>
      </c>
      <c r="AR335" t="str">
        <f t="shared" si="647"/>
        <v/>
      </c>
      <c r="AS335" t="str">
        <f t="shared" si="648"/>
        <v/>
      </c>
      <c r="AT335" t="str">
        <f t="shared" si="649"/>
        <v/>
      </c>
      <c r="AU335" t="str">
        <f t="shared" si="634"/>
        <v/>
      </c>
      <c r="AV335" t="str">
        <f t="shared" si="635"/>
        <v/>
      </c>
      <c r="AW335" t="str">
        <f t="shared" si="636"/>
        <v/>
      </c>
      <c r="AX335" t="str">
        <f t="shared" si="637"/>
        <v/>
      </c>
      <c r="AY335" t="str">
        <f t="shared" si="638"/>
        <v/>
      </c>
      <c r="AZ335" t="str">
        <f t="shared" si="639"/>
        <v/>
      </c>
      <c r="BA335" t="str">
        <f t="shared" si="640"/>
        <v/>
      </c>
      <c r="BB335" t="str">
        <f t="shared" si="641"/>
        <v/>
      </c>
      <c r="BC335" t="str">
        <f t="shared" si="642"/>
        <v/>
      </c>
      <c r="BD335" t="str">
        <f t="shared" si="643"/>
        <v/>
      </c>
      <c r="BE335" t="str">
        <f t="shared" si="644"/>
        <v/>
      </c>
      <c r="BF335" t="str">
        <f t="shared" si="645"/>
        <v/>
      </c>
      <c r="BG335" t="str">
        <f t="shared" si="650"/>
        <v/>
      </c>
      <c r="BH335" t="str">
        <f t="shared" si="646"/>
        <v/>
      </c>
    </row>
    <row r="336" spans="43:60">
      <c r="AQ336" t="str">
        <f t="shared" si="652"/>
        <v/>
      </c>
      <c r="AR336" t="str">
        <f t="shared" si="647"/>
        <v/>
      </c>
      <c r="AS336" t="str">
        <f t="shared" si="648"/>
        <v/>
      </c>
      <c r="AT336" t="str">
        <f t="shared" si="649"/>
        <v/>
      </c>
      <c r="AU336" t="str">
        <f t="shared" si="634"/>
        <v/>
      </c>
      <c r="AV336" t="str">
        <f t="shared" si="635"/>
        <v/>
      </c>
      <c r="AW336" t="str">
        <f t="shared" si="636"/>
        <v/>
      </c>
      <c r="AX336" t="str">
        <f t="shared" si="637"/>
        <v/>
      </c>
      <c r="AY336" t="str">
        <f t="shared" si="638"/>
        <v/>
      </c>
      <c r="AZ336" t="str">
        <f t="shared" si="639"/>
        <v/>
      </c>
      <c r="BA336" t="str">
        <f t="shared" si="640"/>
        <v/>
      </c>
      <c r="BB336" t="str">
        <f t="shared" si="641"/>
        <v/>
      </c>
      <c r="BC336" t="str">
        <f t="shared" si="642"/>
        <v/>
      </c>
      <c r="BD336" t="str">
        <f t="shared" si="643"/>
        <v/>
      </c>
      <c r="BE336" t="str">
        <f t="shared" si="644"/>
        <v/>
      </c>
      <c r="BF336" t="str">
        <f t="shared" si="645"/>
        <v/>
      </c>
      <c r="BG336" t="str">
        <f t="shared" si="650"/>
        <v/>
      </c>
      <c r="BH336" t="str">
        <f t="shared" si="646"/>
        <v/>
      </c>
    </row>
    <row r="337" spans="43:60">
      <c r="AQ337" t="str">
        <f t="shared" si="652"/>
        <v/>
      </c>
      <c r="AR337" t="str">
        <f t="shared" si="647"/>
        <v/>
      </c>
      <c r="AS337" t="str">
        <f t="shared" si="648"/>
        <v/>
      </c>
      <c r="AT337" t="str">
        <f t="shared" si="649"/>
        <v/>
      </c>
      <c r="AU337" t="str">
        <f t="shared" si="634"/>
        <v/>
      </c>
      <c r="AV337" t="str">
        <f t="shared" si="635"/>
        <v/>
      </c>
      <c r="AW337" t="str">
        <f t="shared" si="636"/>
        <v/>
      </c>
      <c r="AX337" t="str">
        <f t="shared" si="637"/>
        <v/>
      </c>
      <c r="AY337" t="str">
        <f t="shared" si="638"/>
        <v/>
      </c>
      <c r="AZ337" t="str">
        <f t="shared" si="639"/>
        <v/>
      </c>
      <c r="BA337" t="str">
        <f t="shared" si="640"/>
        <v/>
      </c>
      <c r="BB337" t="str">
        <f t="shared" si="641"/>
        <v/>
      </c>
      <c r="BC337" t="str">
        <f t="shared" si="642"/>
        <v/>
      </c>
      <c r="BD337" t="str">
        <f t="shared" si="643"/>
        <v/>
      </c>
      <c r="BE337" t="str">
        <f t="shared" si="644"/>
        <v/>
      </c>
      <c r="BF337" t="str">
        <f t="shared" si="645"/>
        <v/>
      </c>
      <c r="BG337" t="str">
        <f t="shared" si="650"/>
        <v/>
      </c>
      <c r="BH337" t="str">
        <f t="shared" si="646"/>
        <v/>
      </c>
    </row>
    <row r="338" spans="43:60">
      <c r="AQ338" t="str">
        <f t="shared" si="652"/>
        <v/>
      </c>
      <c r="AR338" t="str">
        <f t="shared" si="647"/>
        <v/>
      </c>
      <c r="AS338" t="str">
        <f t="shared" si="648"/>
        <v/>
      </c>
      <c r="AT338" t="str">
        <f t="shared" si="649"/>
        <v/>
      </c>
      <c r="AU338" t="str">
        <f t="shared" si="634"/>
        <v/>
      </c>
      <c r="AV338" t="str">
        <f t="shared" si="635"/>
        <v/>
      </c>
      <c r="AW338" t="str">
        <f t="shared" si="636"/>
        <v/>
      </c>
      <c r="AX338" t="str">
        <f t="shared" si="637"/>
        <v/>
      </c>
      <c r="AY338" t="str">
        <f t="shared" si="638"/>
        <v/>
      </c>
      <c r="AZ338" t="str">
        <f t="shared" si="639"/>
        <v/>
      </c>
      <c r="BA338" t="str">
        <f t="shared" si="640"/>
        <v/>
      </c>
      <c r="BB338" t="str">
        <f t="shared" si="641"/>
        <v/>
      </c>
      <c r="BC338" t="str">
        <f t="shared" si="642"/>
        <v/>
      </c>
      <c r="BD338" t="str">
        <f t="shared" si="643"/>
        <v/>
      </c>
      <c r="BE338" t="str">
        <f t="shared" si="644"/>
        <v/>
      </c>
      <c r="BF338" t="str">
        <f t="shared" si="645"/>
        <v/>
      </c>
      <c r="BG338" t="str">
        <f t="shared" si="650"/>
        <v/>
      </c>
      <c r="BH338" t="str">
        <f t="shared" si="646"/>
        <v/>
      </c>
    </row>
    <row r="339" spans="43:60">
      <c r="AQ339" t="str">
        <f t="shared" si="652"/>
        <v/>
      </c>
      <c r="AR339" t="str">
        <f t="shared" si="647"/>
        <v/>
      </c>
      <c r="AS339" t="str">
        <f t="shared" si="648"/>
        <v/>
      </c>
      <c r="AT339" t="str">
        <f t="shared" si="649"/>
        <v/>
      </c>
      <c r="AU339" t="str">
        <f t="shared" si="634"/>
        <v/>
      </c>
      <c r="AV339" t="str">
        <f t="shared" si="635"/>
        <v/>
      </c>
      <c r="AW339" t="str">
        <f t="shared" si="636"/>
        <v/>
      </c>
      <c r="AX339" t="str">
        <f t="shared" si="637"/>
        <v/>
      </c>
      <c r="AY339" t="str">
        <f t="shared" si="638"/>
        <v/>
      </c>
      <c r="AZ339" t="str">
        <f t="shared" si="639"/>
        <v/>
      </c>
      <c r="BA339" t="str">
        <f t="shared" si="640"/>
        <v/>
      </c>
      <c r="BB339" t="str">
        <f t="shared" si="641"/>
        <v/>
      </c>
      <c r="BC339" t="str">
        <f t="shared" si="642"/>
        <v/>
      </c>
      <c r="BD339" t="str">
        <f t="shared" si="643"/>
        <v/>
      </c>
      <c r="BE339" t="str">
        <f t="shared" si="644"/>
        <v/>
      </c>
      <c r="BF339" t="str">
        <f t="shared" si="645"/>
        <v/>
      </c>
      <c r="BG339" t="str">
        <f t="shared" si="650"/>
        <v/>
      </c>
      <c r="BH339" t="str">
        <f t="shared" si="646"/>
        <v/>
      </c>
    </row>
    <row r="340" spans="43:60">
      <c r="AQ340" t="str">
        <f t="shared" si="652"/>
        <v/>
      </c>
      <c r="AR340" t="str">
        <f t="shared" si="647"/>
        <v/>
      </c>
      <c r="AS340" t="str">
        <f t="shared" si="648"/>
        <v/>
      </c>
      <c r="AT340" t="str">
        <f t="shared" si="649"/>
        <v/>
      </c>
      <c r="AU340" t="str">
        <f t="shared" si="634"/>
        <v/>
      </c>
      <c r="AV340" t="str">
        <f t="shared" si="635"/>
        <v/>
      </c>
      <c r="AW340" t="str">
        <f t="shared" si="636"/>
        <v/>
      </c>
      <c r="AX340" t="str">
        <f t="shared" si="637"/>
        <v/>
      </c>
      <c r="AY340" t="str">
        <f t="shared" si="638"/>
        <v/>
      </c>
      <c r="AZ340" t="str">
        <f t="shared" si="639"/>
        <v/>
      </c>
      <c r="BA340" t="str">
        <f t="shared" si="640"/>
        <v/>
      </c>
      <c r="BB340" t="str">
        <f t="shared" si="641"/>
        <v/>
      </c>
      <c r="BC340" t="str">
        <f t="shared" si="642"/>
        <v/>
      </c>
      <c r="BD340" t="str">
        <f t="shared" si="643"/>
        <v/>
      </c>
      <c r="BE340" t="str">
        <f t="shared" si="644"/>
        <v/>
      </c>
      <c r="BF340" t="str">
        <f t="shared" si="645"/>
        <v/>
      </c>
      <c r="BG340" t="str">
        <f t="shared" si="650"/>
        <v/>
      </c>
      <c r="BH340" t="str">
        <f t="shared" si="646"/>
        <v/>
      </c>
    </row>
    <row r="341" spans="43:60">
      <c r="AQ341" t="str">
        <f t="shared" si="652"/>
        <v/>
      </c>
      <c r="AR341" t="str">
        <f t="shared" si="647"/>
        <v/>
      </c>
      <c r="AS341" t="str">
        <f t="shared" si="648"/>
        <v/>
      </c>
      <c r="AT341" t="str">
        <f t="shared" si="649"/>
        <v/>
      </c>
      <c r="AU341" t="str">
        <f t="shared" si="634"/>
        <v/>
      </c>
      <c r="AV341" t="str">
        <f t="shared" si="635"/>
        <v/>
      </c>
      <c r="AW341" t="str">
        <f t="shared" si="636"/>
        <v/>
      </c>
      <c r="AX341" t="str">
        <f t="shared" si="637"/>
        <v/>
      </c>
      <c r="AY341" t="str">
        <f t="shared" si="638"/>
        <v/>
      </c>
      <c r="AZ341" t="str">
        <f t="shared" si="639"/>
        <v/>
      </c>
      <c r="BA341" t="str">
        <f t="shared" si="640"/>
        <v/>
      </c>
      <c r="BB341" t="str">
        <f t="shared" si="641"/>
        <v/>
      </c>
      <c r="BC341" t="str">
        <f t="shared" si="642"/>
        <v/>
      </c>
      <c r="BD341" t="str">
        <f t="shared" si="643"/>
        <v/>
      </c>
      <c r="BE341" t="str">
        <f t="shared" si="644"/>
        <v/>
      </c>
      <c r="BF341" t="str">
        <f t="shared" si="645"/>
        <v/>
      </c>
      <c r="BG341" t="str">
        <f t="shared" si="650"/>
        <v/>
      </c>
      <c r="BH341" t="str">
        <f t="shared" si="646"/>
        <v/>
      </c>
    </row>
    <row r="342" spans="43:60">
      <c r="AQ342" t="str">
        <f t="shared" si="652"/>
        <v/>
      </c>
      <c r="AR342" t="str">
        <f t="shared" si="647"/>
        <v/>
      </c>
      <c r="AS342" t="str">
        <f t="shared" si="648"/>
        <v/>
      </c>
      <c r="AT342" t="str">
        <f t="shared" si="649"/>
        <v/>
      </c>
      <c r="AU342" t="str">
        <f t="shared" si="634"/>
        <v/>
      </c>
      <c r="AV342" t="str">
        <f t="shared" si="635"/>
        <v/>
      </c>
      <c r="AW342" t="str">
        <f t="shared" si="636"/>
        <v/>
      </c>
      <c r="AX342" t="str">
        <f t="shared" si="637"/>
        <v/>
      </c>
      <c r="AY342" t="str">
        <f t="shared" si="638"/>
        <v/>
      </c>
      <c r="AZ342" t="str">
        <f t="shared" si="639"/>
        <v/>
      </c>
      <c r="BA342" t="str">
        <f t="shared" si="640"/>
        <v/>
      </c>
      <c r="BB342" t="str">
        <f t="shared" si="641"/>
        <v/>
      </c>
      <c r="BC342" t="str">
        <f t="shared" si="642"/>
        <v/>
      </c>
      <c r="BD342" t="str">
        <f t="shared" si="643"/>
        <v/>
      </c>
      <c r="BE342" t="str">
        <f t="shared" si="644"/>
        <v/>
      </c>
      <c r="BF342" t="str">
        <f t="shared" si="645"/>
        <v/>
      </c>
      <c r="BG342" t="str">
        <f t="shared" si="650"/>
        <v/>
      </c>
      <c r="BH342" t="str">
        <f t="shared" si="646"/>
        <v/>
      </c>
    </row>
    <row r="343" spans="43:60">
      <c r="AQ343" t="str">
        <f t="shared" si="652"/>
        <v/>
      </c>
      <c r="AR343" t="str">
        <f t="shared" si="647"/>
        <v/>
      </c>
      <c r="AS343" t="str">
        <f t="shared" si="648"/>
        <v/>
      </c>
      <c r="AT343" t="str">
        <f t="shared" si="649"/>
        <v/>
      </c>
      <c r="AU343" t="str">
        <f t="shared" si="634"/>
        <v/>
      </c>
      <c r="AV343" t="str">
        <f t="shared" si="635"/>
        <v/>
      </c>
      <c r="AW343" t="str">
        <f t="shared" si="636"/>
        <v/>
      </c>
      <c r="AX343" t="str">
        <f t="shared" si="637"/>
        <v/>
      </c>
      <c r="AY343" t="str">
        <f t="shared" si="638"/>
        <v/>
      </c>
      <c r="AZ343" t="str">
        <f t="shared" si="639"/>
        <v/>
      </c>
      <c r="BA343" t="str">
        <f t="shared" si="640"/>
        <v/>
      </c>
      <c r="BB343" t="str">
        <f t="shared" si="641"/>
        <v/>
      </c>
      <c r="BC343" t="str">
        <f t="shared" si="642"/>
        <v/>
      </c>
      <c r="BD343" t="str">
        <f t="shared" si="643"/>
        <v/>
      </c>
      <c r="BE343" t="str">
        <f t="shared" si="644"/>
        <v/>
      </c>
      <c r="BF343" t="str">
        <f t="shared" si="645"/>
        <v/>
      </c>
      <c r="BG343" t="str">
        <f t="shared" si="650"/>
        <v/>
      </c>
      <c r="BH343" t="str">
        <f t="shared" si="646"/>
        <v/>
      </c>
    </row>
    <row r="344" spans="43:60">
      <c r="AQ344" t="str">
        <f t="shared" si="652"/>
        <v/>
      </c>
      <c r="AR344" t="str">
        <f t="shared" si="647"/>
        <v/>
      </c>
      <c r="AS344" t="str">
        <f t="shared" si="648"/>
        <v/>
      </c>
      <c r="AT344" t="str">
        <f t="shared" si="649"/>
        <v/>
      </c>
      <c r="AU344" t="str">
        <f t="shared" si="634"/>
        <v/>
      </c>
      <c r="AV344" t="str">
        <f t="shared" si="635"/>
        <v/>
      </c>
      <c r="AW344" t="str">
        <f t="shared" si="636"/>
        <v/>
      </c>
      <c r="AX344" t="str">
        <f t="shared" si="637"/>
        <v/>
      </c>
      <c r="AY344" t="str">
        <f t="shared" si="638"/>
        <v/>
      </c>
      <c r="AZ344" t="str">
        <f t="shared" si="639"/>
        <v/>
      </c>
      <c r="BA344" t="str">
        <f t="shared" si="640"/>
        <v/>
      </c>
      <c r="BB344" t="str">
        <f t="shared" si="641"/>
        <v/>
      </c>
      <c r="BC344" t="str">
        <f t="shared" si="642"/>
        <v/>
      </c>
      <c r="BD344" t="str">
        <f t="shared" si="643"/>
        <v/>
      </c>
      <c r="BE344" t="str">
        <f t="shared" si="644"/>
        <v/>
      </c>
      <c r="BF344" t="str">
        <f t="shared" si="645"/>
        <v/>
      </c>
      <c r="BG344" t="str">
        <f t="shared" si="650"/>
        <v/>
      </c>
      <c r="BH344" t="str">
        <f t="shared" si="646"/>
        <v/>
      </c>
    </row>
    <row r="345" spans="43:60">
      <c r="AQ345" t="str">
        <f t="shared" si="652"/>
        <v/>
      </c>
      <c r="AR345" t="str">
        <f t="shared" si="647"/>
        <v/>
      </c>
      <c r="AS345" t="str">
        <f t="shared" si="648"/>
        <v/>
      </c>
      <c r="AT345" t="str">
        <f t="shared" si="649"/>
        <v/>
      </c>
      <c r="AU345" t="str">
        <f t="shared" si="634"/>
        <v/>
      </c>
      <c r="AV345" t="str">
        <f t="shared" si="635"/>
        <v/>
      </c>
      <c r="AW345" t="str">
        <f t="shared" si="636"/>
        <v/>
      </c>
      <c r="AX345" t="str">
        <f t="shared" si="637"/>
        <v/>
      </c>
      <c r="AY345" t="str">
        <f t="shared" si="638"/>
        <v/>
      </c>
      <c r="AZ345" t="str">
        <f t="shared" si="639"/>
        <v/>
      </c>
      <c r="BA345" t="str">
        <f t="shared" si="640"/>
        <v/>
      </c>
      <c r="BB345" t="str">
        <f t="shared" si="641"/>
        <v/>
      </c>
      <c r="BC345" t="str">
        <f t="shared" si="642"/>
        <v/>
      </c>
      <c r="BD345" t="str">
        <f t="shared" si="643"/>
        <v/>
      </c>
      <c r="BE345" t="str">
        <f t="shared" si="644"/>
        <v/>
      </c>
      <c r="BF345" t="str">
        <f t="shared" si="645"/>
        <v/>
      </c>
      <c r="BG345" t="str">
        <f t="shared" si="650"/>
        <v/>
      </c>
      <c r="BH345" t="str">
        <f t="shared" si="646"/>
        <v/>
      </c>
    </row>
    <row r="346" spans="43:60">
      <c r="AQ346" t="str">
        <f t="shared" si="652"/>
        <v/>
      </c>
      <c r="AR346" t="str">
        <f t="shared" si="647"/>
        <v/>
      </c>
      <c r="AS346" t="str">
        <f t="shared" si="648"/>
        <v/>
      </c>
      <c r="AT346" t="str">
        <f t="shared" si="649"/>
        <v/>
      </c>
      <c r="AU346" t="str">
        <f t="shared" si="634"/>
        <v/>
      </c>
      <c r="AV346" t="str">
        <f t="shared" si="635"/>
        <v/>
      </c>
      <c r="AW346" t="str">
        <f t="shared" si="636"/>
        <v/>
      </c>
      <c r="AX346" t="str">
        <f t="shared" si="637"/>
        <v/>
      </c>
      <c r="AY346" t="str">
        <f t="shared" si="638"/>
        <v/>
      </c>
      <c r="AZ346" t="str">
        <f t="shared" si="639"/>
        <v/>
      </c>
      <c r="BA346" t="str">
        <f t="shared" si="640"/>
        <v/>
      </c>
      <c r="BB346" t="str">
        <f t="shared" si="641"/>
        <v/>
      </c>
      <c r="BC346" t="str">
        <f t="shared" si="642"/>
        <v/>
      </c>
      <c r="BD346" t="str">
        <f t="shared" si="643"/>
        <v/>
      </c>
      <c r="BE346" t="str">
        <f t="shared" si="644"/>
        <v/>
      </c>
      <c r="BF346" t="str">
        <f t="shared" si="645"/>
        <v/>
      </c>
      <c r="BG346" t="str">
        <f t="shared" si="650"/>
        <v/>
      </c>
      <c r="BH346" t="str">
        <f t="shared" si="646"/>
        <v/>
      </c>
    </row>
    <row r="347" spans="43:60">
      <c r="AQ347" t="str">
        <f t="shared" si="652"/>
        <v/>
      </c>
      <c r="AR347" t="str">
        <f t="shared" si="647"/>
        <v/>
      </c>
      <c r="AS347" t="str">
        <f t="shared" si="648"/>
        <v/>
      </c>
      <c r="AT347" t="str">
        <f t="shared" si="649"/>
        <v/>
      </c>
      <c r="AU347" t="str">
        <f t="shared" si="634"/>
        <v/>
      </c>
      <c r="AV347" t="str">
        <f t="shared" si="635"/>
        <v/>
      </c>
      <c r="AW347" t="str">
        <f t="shared" si="636"/>
        <v/>
      </c>
      <c r="AX347" t="str">
        <f t="shared" si="637"/>
        <v/>
      </c>
      <c r="AY347" t="str">
        <f t="shared" si="638"/>
        <v/>
      </c>
      <c r="AZ347" t="str">
        <f t="shared" si="639"/>
        <v/>
      </c>
      <c r="BA347" t="str">
        <f t="shared" si="640"/>
        <v/>
      </c>
      <c r="BB347" t="str">
        <f t="shared" si="641"/>
        <v/>
      </c>
      <c r="BC347" t="str">
        <f t="shared" si="642"/>
        <v/>
      </c>
      <c r="BD347" t="str">
        <f t="shared" si="643"/>
        <v/>
      </c>
      <c r="BE347" t="str">
        <f t="shared" si="644"/>
        <v/>
      </c>
      <c r="BF347" t="str">
        <f t="shared" si="645"/>
        <v/>
      </c>
      <c r="BG347" t="str">
        <f t="shared" si="650"/>
        <v/>
      </c>
      <c r="BH347" t="str">
        <f t="shared" si="646"/>
        <v/>
      </c>
    </row>
    <row r="348" spans="43:60">
      <c r="AQ348" t="str">
        <f t="shared" si="652"/>
        <v/>
      </c>
      <c r="AR348" t="str">
        <f t="shared" si="647"/>
        <v/>
      </c>
      <c r="AS348" t="str">
        <f t="shared" si="648"/>
        <v/>
      </c>
      <c r="AT348" t="str">
        <f t="shared" si="649"/>
        <v/>
      </c>
      <c r="AU348" t="str">
        <f t="shared" si="634"/>
        <v/>
      </c>
      <c r="AV348" t="str">
        <f t="shared" si="635"/>
        <v/>
      </c>
      <c r="AW348" t="str">
        <f t="shared" si="636"/>
        <v/>
      </c>
      <c r="AX348" t="str">
        <f t="shared" si="637"/>
        <v/>
      </c>
      <c r="AY348" t="str">
        <f t="shared" si="638"/>
        <v/>
      </c>
      <c r="AZ348" t="str">
        <f t="shared" si="639"/>
        <v/>
      </c>
      <c r="BA348" t="str">
        <f t="shared" si="640"/>
        <v/>
      </c>
      <c r="BB348" t="str">
        <f t="shared" si="641"/>
        <v/>
      </c>
      <c r="BC348" t="str">
        <f t="shared" si="642"/>
        <v/>
      </c>
      <c r="BD348" t="str">
        <f t="shared" si="643"/>
        <v/>
      </c>
      <c r="BE348" t="str">
        <f t="shared" si="644"/>
        <v/>
      </c>
      <c r="BF348" t="str">
        <f t="shared" si="645"/>
        <v/>
      </c>
      <c r="BG348" t="str">
        <f t="shared" si="650"/>
        <v/>
      </c>
      <c r="BH348" t="str">
        <f t="shared" si="646"/>
        <v/>
      </c>
    </row>
    <row r="349" spans="43:60">
      <c r="AQ349" t="str">
        <f t="shared" si="652"/>
        <v/>
      </c>
      <c r="AR349" t="str">
        <f t="shared" si="647"/>
        <v/>
      </c>
      <c r="AS349" t="str">
        <f t="shared" si="648"/>
        <v/>
      </c>
      <c r="AT349" t="str">
        <f t="shared" si="649"/>
        <v/>
      </c>
      <c r="AU349" t="str">
        <f t="shared" si="634"/>
        <v/>
      </c>
      <c r="AV349" t="str">
        <f t="shared" si="635"/>
        <v/>
      </c>
      <c r="AW349" t="str">
        <f t="shared" si="636"/>
        <v/>
      </c>
      <c r="AX349" t="str">
        <f t="shared" si="637"/>
        <v/>
      </c>
      <c r="AY349" t="str">
        <f t="shared" si="638"/>
        <v/>
      </c>
      <c r="AZ349" t="str">
        <f t="shared" si="639"/>
        <v/>
      </c>
      <c r="BA349" t="str">
        <f t="shared" si="640"/>
        <v/>
      </c>
      <c r="BB349" t="str">
        <f t="shared" si="641"/>
        <v/>
      </c>
      <c r="BC349" t="str">
        <f t="shared" si="642"/>
        <v/>
      </c>
      <c r="BD349" t="str">
        <f t="shared" si="643"/>
        <v/>
      </c>
      <c r="BE349" t="str">
        <f t="shared" si="644"/>
        <v/>
      </c>
      <c r="BF349" t="str">
        <f t="shared" si="645"/>
        <v/>
      </c>
      <c r="BG349" t="str">
        <f t="shared" si="650"/>
        <v/>
      </c>
      <c r="BH349" t="str">
        <f t="shared" si="646"/>
        <v/>
      </c>
    </row>
    <row r="350" spans="43:60">
      <c r="AQ350" t="str">
        <f t="shared" si="652"/>
        <v/>
      </c>
      <c r="AR350" t="str">
        <f t="shared" si="647"/>
        <v/>
      </c>
      <c r="AS350" t="str">
        <f t="shared" si="648"/>
        <v/>
      </c>
      <c r="AT350" t="str">
        <f t="shared" si="649"/>
        <v/>
      </c>
      <c r="AU350" t="str">
        <f t="shared" si="634"/>
        <v/>
      </c>
      <c r="AV350" t="str">
        <f t="shared" si="635"/>
        <v/>
      </c>
      <c r="AW350" t="str">
        <f t="shared" si="636"/>
        <v/>
      </c>
      <c r="AX350" t="str">
        <f t="shared" si="637"/>
        <v/>
      </c>
      <c r="AY350" t="str">
        <f t="shared" si="638"/>
        <v/>
      </c>
      <c r="AZ350" t="str">
        <f t="shared" si="639"/>
        <v/>
      </c>
      <c r="BA350" t="str">
        <f t="shared" si="640"/>
        <v/>
      </c>
      <c r="BB350" t="str">
        <f t="shared" si="641"/>
        <v/>
      </c>
      <c r="BC350" t="str">
        <f t="shared" si="642"/>
        <v/>
      </c>
      <c r="BD350" t="str">
        <f t="shared" si="643"/>
        <v/>
      </c>
      <c r="BE350" t="str">
        <f t="shared" si="644"/>
        <v/>
      </c>
      <c r="BF350" t="str">
        <f t="shared" si="645"/>
        <v/>
      </c>
      <c r="BG350" t="str">
        <f t="shared" si="650"/>
        <v/>
      </c>
      <c r="BH350" t="str">
        <f t="shared" si="646"/>
        <v/>
      </c>
    </row>
    <row r="351" spans="43:60">
      <c r="AQ351" t="str">
        <f t="shared" si="652"/>
        <v/>
      </c>
      <c r="AR351" t="str">
        <f t="shared" si="647"/>
        <v/>
      </c>
      <c r="AS351" t="str">
        <f t="shared" si="648"/>
        <v/>
      </c>
      <c r="AT351" t="str">
        <f t="shared" si="649"/>
        <v/>
      </c>
      <c r="AU351" t="str">
        <f t="shared" si="634"/>
        <v/>
      </c>
      <c r="AV351" t="str">
        <f t="shared" si="635"/>
        <v/>
      </c>
      <c r="AW351" t="str">
        <f t="shared" si="636"/>
        <v/>
      </c>
      <c r="AX351" t="str">
        <f t="shared" si="637"/>
        <v/>
      </c>
      <c r="AY351" t="str">
        <f t="shared" si="638"/>
        <v/>
      </c>
      <c r="AZ351" t="str">
        <f t="shared" si="639"/>
        <v/>
      </c>
      <c r="BA351" t="str">
        <f t="shared" si="640"/>
        <v/>
      </c>
      <c r="BB351" t="str">
        <f t="shared" si="641"/>
        <v/>
      </c>
      <c r="BC351" t="str">
        <f t="shared" si="642"/>
        <v/>
      </c>
      <c r="BD351" t="str">
        <f t="shared" si="643"/>
        <v/>
      </c>
      <c r="BE351" t="str">
        <f t="shared" si="644"/>
        <v/>
      </c>
      <c r="BF351" t="str">
        <f t="shared" si="645"/>
        <v/>
      </c>
      <c r="BG351" t="str">
        <f t="shared" si="650"/>
        <v/>
      </c>
      <c r="BH351" t="str">
        <f t="shared" si="646"/>
        <v/>
      </c>
    </row>
    <row r="352" spans="43:60">
      <c r="AQ352" t="str">
        <f t="shared" si="652"/>
        <v/>
      </c>
      <c r="AR352" t="str">
        <f t="shared" si="647"/>
        <v/>
      </c>
      <c r="AS352" t="str">
        <f t="shared" si="648"/>
        <v/>
      </c>
      <c r="AT352" t="str">
        <f t="shared" si="649"/>
        <v/>
      </c>
      <c r="AU352" t="str">
        <f t="shared" si="634"/>
        <v/>
      </c>
      <c r="AV352" t="str">
        <f t="shared" si="635"/>
        <v/>
      </c>
      <c r="AW352" t="str">
        <f t="shared" si="636"/>
        <v/>
      </c>
      <c r="AX352" t="str">
        <f t="shared" si="637"/>
        <v/>
      </c>
      <c r="AY352" t="str">
        <f t="shared" si="638"/>
        <v/>
      </c>
      <c r="AZ352" t="str">
        <f t="shared" si="639"/>
        <v/>
      </c>
      <c r="BA352" t="str">
        <f t="shared" si="640"/>
        <v/>
      </c>
      <c r="BB352" t="str">
        <f t="shared" si="641"/>
        <v/>
      </c>
      <c r="BC352" t="str">
        <f t="shared" si="642"/>
        <v/>
      </c>
      <c r="BD352" t="str">
        <f t="shared" si="643"/>
        <v/>
      </c>
      <c r="BE352" t="str">
        <f t="shared" si="644"/>
        <v/>
      </c>
      <c r="BF352" t="str">
        <f t="shared" si="645"/>
        <v/>
      </c>
      <c r="BG352" t="str">
        <f t="shared" si="650"/>
        <v/>
      </c>
      <c r="BH352" t="str">
        <f t="shared" si="646"/>
        <v/>
      </c>
    </row>
    <row r="353" spans="43:60">
      <c r="AQ353" t="str">
        <f t="shared" si="652"/>
        <v/>
      </c>
      <c r="AR353" t="str">
        <f t="shared" si="647"/>
        <v/>
      </c>
      <c r="AS353" t="str">
        <f t="shared" si="648"/>
        <v/>
      </c>
      <c r="AT353" t="str">
        <f t="shared" si="649"/>
        <v/>
      </c>
      <c r="AU353" t="str">
        <f t="shared" si="634"/>
        <v/>
      </c>
      <c r="AV353" t="str">
        <f t="shared" si="635"/>
        <v/>
      </c>
      <c r="AW353" t="str">
        <f t="shared" si="636"/>
        <v/>
      </c>
      <c r="AX353" t="str">
        <f t="shared" si="637"/>
        <v/>
      </c>
      <c r="AY353" t="str">
        <f t="shared" si="638"/>
        <v/>
      </c>
      <c r="AZ353" t="str">
        <f t="shared" si="639"/>
        <v/>
      </c>
      <c r="BA353" t="str">
        <f t="shared" si="640"/>
        <v/>
      </c>
      <c r="BB353" t="str">
        <f t="shared" si="641"/>
        <v/>
      </c>
      <c r="BC353" t="str">
        <f t="shared" si="642"/>
        <v/>
      </c>
      <c r="BD353" t="str">
        <f t="shared" si="643"/>
        <v/>
      </c>
      <c r="BE353" t="str">
        <f t="shared" si="644"/>
        <v/>
      </c>
      <c r="BF353" t="str">
        <f t="shared" si="645"/>
        <v/>
      </c>
      <c r="BG353" t="str">
        <f t="shared" si="650"/>
        <v/>
      </c>
      <c r="BH353" t="str">
        <f t="shared" si="646"/>
        <v/>
      </c>
    </row>
    <row r="354" spans="43:60">
      <c r="AQ354" t="str">
        <f t="shared" si="652"/>
        <v/>
      </c>
      <c r="AR354" t="str">
        <f t="shared" si="647"/>
        <v/>
      </c>
      <c r="AS354" t="str">
        <f t="shared" si="648"/>
        <v/>
      </c>
      <c r="AT354" t="str">
        <f t="shared" si="649"/>
        <v/>
      </c>
      <c r="AU354" t="str">
        <f t="shared" si="634"/>
        <v/>
      </c>
      <c r="AV354" t="str">
        <f t="shared" si="635"/>
        <v/>
      </c>
      <c r="AW354" t="str">
        <f t="shared" si="636"/>
        <v/>
      </c>
      <c r="AX354" t="str">
        <f t="shared" si="637"/>
        <v/>
      </c>
      <c r="AY354" t="str">
        <f t="shared" si="638"/>
        <v/>
      </c>
      <c r="AZ354" t="str">
        <f t="shared" si="639"/>
        <v/>
      </c>
      <c r="BA354" t="str">
        <f t="shared" si="640"/>
        <v/>
      </c>
      <c r="BB354" t="str">
        <f t="shared" si="641"/>
        <v/>
      </c>
      <c r="BC354" t="str">
        <f t="shared" si="642"/>
        <v/>
      </c>
      <c r="BD354" t="str">
        <f t="shared" si="643"/>
        <v/>
      </c>
      <c r="BE354" t="str">
        <f t="shared" si="644"/>
        <v/>
      </c>
      <c r="BF354" t="str">
        <f t="shared" si="645"/>
        <v/>
      </c>
      <c r="BG354" t="str">
        <f t="shared" si="650"/>
        <v/>
      </c>
      <c r="BH354" t="str">
        <f t="shared" si="646"/>
        <v/>
      </c>
    </row>
    <row r="355" spans="43:60">
      <c r="AQ355" t="str">
        <f t="shared" si="652"/>
        <v/>
      </c>
      <c r="AR355" t="str">
        <f t="shared" si="647"/>
        <v/>
      </c>
      <c r="AS355" t="str">
        <f t="shared" si="648"/>
        <v/>
      </c>
      <c r="AT355" t="str">
        <f t="shared" si="649"/>
        <v/>
      </c>
      <c r="AU355" t="str">
        <f t="shared" si="634"/>
        <v/>
      </c>
      <c r="AV355" t="str">
        <f t="shared" si="635"/>
        <v/>
      </c>
      <c r="AW355" t="str">
        <f t="shared" si="636"/>
        <v/>
      </c>
      <c r="AX355" t="str">
        <f t="shared" si="637"/>
        <v/>
      </c>
      <c r="AY355" t="str">
        <f t="shared" si="638"/>
        <v/>
      </c>
      <c r="AZ355" t="str">
        <f t="shared" si="639"/>
        <v/>
      </c>
      <c r="BA355" t="str">
        <f t="shared" si="640"/>
        <v/>
      </c>
      <c r="BB355" t="str">
        <f t="shared" si="641"/>
        <v/>
      </c>
      <c r="BC355" t="str">
        <f t="shared" si="642"/>
        <v/>
      </c>
      <c r="BD355" t="str">
        <f t="shared" si="643"/>
        <v/>
      </c>
      <c r="BE355" t="str">
        <f t="shared" si="644"/>
        <v/>
      </c>
      <c r="BF355" t="str">
        <f t="shared" si="645"/>
        <v/>
      </c>
      <c r="BG355" t="str">
        <f t="shared" si="650"/>
        <v/>
      </c>
      <c r="BH355" t="str">
        <f t="shared" si="646"/>
        <v/>
      </c>
    </row>
    <row r="356" spans="43:60">
      <c r="AQ356" t="str">
        <f t="shared" si="652"/>
        <v/>
      </c>
      <c r="AR356" t="str">
        <f t="shared" si="647"/>
        <v/>
      </c>
      <c r="AS356" t="str">
        <f t="shared" si="648"/>
        <v/>
      </c>
      <c r="AT356" t="str">
        <f t="shared" si="649"/>
        <v/>
      </c>
      <c r="AU356" t="str">
        <f t="shared" si="634"/>
        <v/>
      </c>
      <c r="AV356" t="str">
        <f t="shared" si="635"/>
        <v/>
      </c>
      <c r="AW356" t="str">
        <f t="shared" si="636"/>
        <v/>
      </c>
      <c r="AX356" t="str">
        <f t="shared" si="637"/>
        <v/>
      </c>
      <c r="AY356" t="str">
        <f t="shared" si="638"/>
        <v/>
      </c>
      <c r="AZ356" t="str">
        <f t="shared" si="639"/>
        <v/>
      </c>
      <c r="BA356" t="str">
        <f t="shared" si="640"/>
        <v/>
      </c>
      <c r="BB356" t="str">
        <f t="shared" si="641"/>
        <v/>
      </c>
      <c r="BC356" t="str">
        <f t="shared" si="642"/>
        <v/>
      </c>
      <c r="BD356" t="str">
        <f t="shared" si="643"/>
        <v/>
      </c>
      <c r="BE356" t="str">
        <f t="shared" si="644"/>
        <v/>
      </c>
      <c r="BF356" t="str">
        <f t="shared" si="645"/>
        <v/>
      </c>
      <c r="BG356" t="str">
        <f t="shared" si="650"/>
        <v/>
      </c>
      <c r="BH356" t="str">
        <f t="shared" si="646"/>
        <v/>
      </c>
    </row>
    <row r="357" spans="43:60">
      <c r="AQ357" t="str">
        <f t="shared" si="652"/>
        <v/>
      </c>
      <c r="AR357" t="str">
        <f t="shared" si="647"/>
        <v/>
      </c>
      <c r="AS357" t="str">
        <f t="shared" si="648"/>
        <v/>
      </c>
      <c r="AT357" t="str">
        <f t="shared" si="649"/>
        <v/>
      </c>
      <c r="AU357" t="str">
        <f t="shared" si="634"/>
        <v/>
      </c>
      <c r="AV357" t="str">
        <f t="shared" si="635"/>
        <v/>
      </c>
      <c r="AW357" t="str">
        <f t="shared" si="636"/>
        <v/>
      </c>
      <c r="AX357" t="str">
        <f t="shared" si="637"/>
        <v/>
      </c>
      <c r="AY357" t="str">
        <f t="shared" si="638"/>
        <v/>
      </c>
      <c r="AZ357" t="str">
        <f t="shared" si="639"/>
        <v/>
      </c>
      <c r="BA357" t="str">
        <f t="shared" si="640"/>
        <v/>
      </c>
      <c r="BB357" t="str">
        <f t="shared" si="641"/>
        <v/>
      </c>
      <c r="BC357" t="str">
        <f t="shared" si="642"/>
        <v/>
      </c>
      <c r="BD357" t="str">
        <f t="shared" si="643"/>
        <v/>
      </c>
      <c r="BE357" t="str">
        <f t="shared" si="644"/>
        <v/>
      </c>
      <c r="BF357" t="str">
        <f t="shared" si="645"/>
        <v/>
      </c>
      <c r="BG357" t="str">
        <f t="shared" si="650"/>
        <v/>
      </c>
      <c r="BH357" t="str">
        <f t="shared" si="646"/>
        <v/>
      </c>
    </row>
    <row r="358" spans="43:60">
      <c r="AQ358" t="str">
        <f t="shared" si="652"/>
        <v/>
      </c>
      <c r="AR358" t="str">
        <f t="shared" si="647"/>
        <v/>
      </c>
      <c r="AS358" t="str">
        <f t="shared" si="648"/>
        <v/>
      </c>
      <c r="AT358" t="str">
        <f t="shared" si="649"/>
        <v/>
      </c>
      <c r="AU358" t="str">
        <f t="shared" si="634"/>
        <v/>
      </c>
      <c r="AV358" t="str">
        <f t="shared" si="635"/>
        <v/>
      </c>
      <c r="AW358" t="str">
        <f t="shared" si="636"/>
        <v/>
      </c>
      <c r="AX358" t="str">
        <f t="shared" si="637"/>
        <v/>
      </c>
      <c r="AY358" t="str">
        <f t="shared" si="638"/>
        <v/>
      </c>
      <c r="AZ358" t="str">
        <f t="shared" si="639"/>
        <v/>
      </c>
      <c r="BA358" t="str">
        <f t="shared" si="640"/>
        <v/>
      </c>
      <c r="BB358" t="str">
        <f t="shared" si="641"/>
        <v/>
      </c>
      <c r="BC358" t="str">
        <f t="shared" si="642"/>
        <v/>
      </c>
      <c r="BD358" t="str">
        <f t="shared" si="643"/>
        <v/>
      </c>
      <c r="BE358" t="str">
        <f t="shared" si="644"/>
        <v/>
      </c>
      <c r="BF358" t="str">
        <f t="shared" si="645"/>
        <v/>
      </c>
      <c r="BG358" t="str">
        <f t="shared" si="650"/>
        <v/>
      </c>
      <c r="BH358" t="str">
        <f t="shared" si="646"/>
        <v/>
      </c>
    </row>
    <row r="359" spans="43:60">
      <c r="AQ359" t="str">
        <f t="shared" si="652"/>
        <v/>
      </c>
      <c r="AR359" t="str">
        <f t="shared" si="647"/>
        <v/>
      </c>
      <c r="AS359" t="str">
        <f t="shared" si="648"/>
        <v/>
      </c>
      <c r="AT359" t="str">
        <f t="shared" si="649"/>
        <v/>
      </c>
      <c r="AU359" t="str">
        <f t="shared" si="634"/>
        <v/>
      </c>
      <c r="AV359" t="str">
        <f t="shared" si="635"/>
        <v/>
      </c>
      <c r="AW359" t="str">
        <f t="shared" si="636"/>
        <v/>
      </c>
      <c r="AX359" t="str">
        <f t="shared" si="637"/>
        <v/>
      </c>
      <c r="AY359" t="str">
        <f t="shared" si="638"/>
        <v/>
      </c>
      <c r="AZ359" t="str">
        <f t="shared" si="639"/>
        <v/>
      </c>
      <c r="BA359" t="str">
        <f t="shared" si="640"/>
        <v/>
      </c>
      <c r="BB359" t="str">
        <f t="shared" si="641"/>
        <v/>
      </c>
      <c r="BC359" t="str">
        <f t="shared" si="642"/>
        <v/>
      </c>
      <c r="BD359" t="str">
        <f t="shared" si="643"/>
        <v/>
      </c>
      <c r="BE359" t="str">
        <f t="shared" si="644"/>
        <v/>
      </c>
      <c r="BF359" t="str">
        <f t="shared" si="645"/>
        <v/>
      </c>
      <c r="BG359" t="str">
        <f t="shared" si="650"/>
        <v/>
      </c>
      <c r="BH359" t="str">
        <f t="shared" si="646"/>
        <v/>
      </c>
    </row>
    <row r="360" spans="43:60">
      <c r="AQ360" t="str">
        <f t="shared" si="652"/>
        <v/>
      </c>
      <c r="AR360" t="str">
        <f t="shared" si="647"/>
        <v/>
      </c>
      <c r="AS360" t="str">
        <f t="shared" si="648"/>
        <v/>
      </c>
      <c r="AT360" t="str">
        <f t="shared" si="649"/>
        <v/>
      </c>
      <c r="AU360" t="str">
        <f t="shared" si="634"/>
        <v/>
      </c>
      <c r="AV360" t="str">
        <f t="shared" si="635"/>
        <v/>
      </c>
      <c r="AW360" t="str">
        <f t="shared" si="636"/>
        <v/>
      </c>
      <c r="AX360" t="str">
        <f t="shared" si="637"/>
        <v/>
      </c>
      <c r="AY360" t="str">
        <f t="shared" si="638"/>
        <v/>
      </c>
      <c r="AZ360" t="str">
        <f t="shared" si="639"/>
        <v/>
      </c>
      <c r="BA360" t="str">
        <f t="shared" si="640"/>
        <v/>
      </c>
      <c r="BB360" t="str">
        <f t="shared" si="641"/>
        <v/>
      </c>
      <c r="BC360" t="str">
        <f t="shared" si="642"/>
        <v/>
      </c>
      <c r="BD360" t="str">
        <f t="shared" si="643"/>
        <v/>
      </c>
      <c r="BE360" t="str">
        <f t="shared" si="644"/>
        <v/>
      </c>
      <c r="BF360" t="str">
        <f t="shared" si="645"/>
        <v/>
      </c>
      <c r="BG360" t="str">
        <f t="shared" si="650"/>
        <v/>
      </c>
      <c r="BH360" t="str">
        <f t="shared" si="646"/>
        <v/>
      </c>
    </row>
    <row r="361" spans="43:60">
      <c r="AQ361" t="str">
        <f t="shared" si="652"/>
        <v/>
      </c>
      <c r="AR361" t="str">
        <f t="shared" si="647"/>
        <v/>
      </c>
      <c r="AS361" t="str">
        <f t="shared" si="648"/>
        <v/>
      </c>
      <c r="AT361" t="str">
        <f t="shared" si="649"/>
        <v/>
      </c>
      <c r="AU361" t="str">
        <f t="shared" si="634"/>
        <v/>
      </c>
      <c r="AV361" t="str">
        <f t="shared" si="635"/>
        <v/>
      </c>
      <c r="AW361" t="str">
        <f t="shared" si="636"/>
        <v/>
      </c>
      <c r="AX361" t="str">
        <f t="shared" si="637"/>
        <v/>
      </c>
      <c r="AY361" t="str">
        <f t="shared" si="638"/>
        <v/>
      </c>
      <c r="AZ361" t="str">
        <f t="shared" si="639"/>
        <v/>
      </c>
      <c r="BA361" t="str">
        <f t="shared" si="640"/>
        <v/>
      </c>
      <c r="BB361" t="str">
        <f t="shared" si="641"/>
        <v/>
      </c>
      <c r="BC361" t="str">
        <f t="shared" si="642"/>
        <v/>
      </c>
      <c r="BD361" t="str">
        <f t="shared" si="643"/>
        <v/>
      </c>
      <c r="BE361" t="str">
        <f t="shared" si="644"/>
        <v/>
      </c>
      <c r="BF361" t="str">
        <f t="shared" si="645"/>
        <v/>
      </c>
      <c r="BG361" t="str">
        <f t="shared" si="650"/>
        <v/>
      </c>
      <c r="BH361" t="str">
        <f t="shared" si="646"/>
        <v/>
      </c>
    </row>
    <row r="362" spans="43:60">
      <c r="AQ362" t="str">
        <f t="shared" si="652"/>
        <v/>
      </c>
      <c r="AR362" t="str">
        <f t="shared" si="647"/>
        <v/>
      </c>
      <c r="AS362" t="str">
        <f t="shared" si="648"/>
        <v/>
      </c>
      <c r="AT362" t="str">
        <f t="shared" si="649"/>
        <v/>
      </c>
      <c r="AU362" t="str">
        <f t="shared" si="634"/>
        <v/>
      </c>
      <c r="AV362" t="str">
        <f t="shared" si="635"/>
        <v/>
      </c>
      <c r="AW362" t="str">
        <f t="shared" si="636"/>
        <v/>
      </c>
      <c r="AX362" t="str">
        <f t="shared" si="637"/>
        <v/>
      </c>
      <c r="AY362" t="str">
        <f t="shared" si="638"/>
        <v/>
      </c>
      <c r="AZ362" t="str">
        <f t="shared" si="639"/>
        <v/>
      </c>
      <c r="BA362" t="str">
        <f t="shared" si="640"/>
        <v/>
      </c>
      <c r="BB362" t="str">
        <f t="shared" si="641"/>
        <v/>
      </c>
      <c r="BC362" t="str">
        <f t="shared" si="642"/>
        <v/>
      </c>
      <c r="BD362" t="str">
        <f t="shared" si="643"/>
        <v/>
      </c>
      <c r="BE362" t="str">
        <f t="shared" si="644"/>
        <v/>
      </c>
      <c r="BF362" t="str">
        <f t="shared" si="645"/>
        <v/>
      </c>
      <c r="BG362" t="str">
        <f t="shared" si="650"/>
        <v/>
      </c>
      <c r="BH362" t="str">
        <f t="shared" si="646"/>
        <v/>
      </c>
    </row>
    <row r="363" spans="43:60">
      <c r="AQ363" t="str">
        <f t="shared" si="652"/>
        <v/>
      </c>
      <c r="AR363" t="str">
        <f t="shared" si="647"/>
        <v/>
      </c>
      <c r="AS363" t="str">
        <f t="shared" si="648"/>
        <v/>
      </c>
      <c r="AT363" t="str">
        <f t="shared" si="649"/>
        <v/>
      </c>
      <c r="AU363" t="str">
        <f t="shared" si="634"/>
        <v/>
      </c>
      <c r="AV363" t="str">
        <f t="shared" si="635"/>
        <v/>
      </c>
      <c r="AW363" t="str">
        <f t="shared" si="636"/>
        <v/>
      </c>
      <c r="AX363" t="str">
        <f t="shared" si="637"/>
        <v/>
      </c>
      <c r="AY363" t="str">
        <f t="shared" si="638"/>
        <v/>
      </c>
      <c r="AZ363" t="str">
        <f t="shared" si="639"/>
        <v/>
      </c>
      <c r="BA363" t="str">
        <f t="shared" si="640"/>
        <v/>
      </c>
      <c r="BB363" t="str">
        <f t="shared" si="641"/>
        <v/>
      </c>
      <c r="BC363" t="str">
        <f t="shared" si="642"/>
        <v/>
      </c>
      <c r="BD363" t="str">
        <f t="shared" si="643"/>
        <v/>
      </c>
      <c r="BE363" t="str">
        <f t="shared" si="644"/>
        <v/>
      </c>
      <c r="BF363" t="str">
        <f t="shared" si="645"/>
        <v/>
      </c>
      <c r="BG363" t="str">
        <f t="shared" si="650"/>
        <v/>
      </c>
      <c r="BH363" t="str">
        <f t="shared" si="646"/>
        <v/>
      </c>
    </row>
    <row r="364" spans="43:60">
      <c r="AQ364" t="str">
        <f t="shared" si="652"/>
        <v/>
      </c>
      <c r="AR364" t="str">
        <f t="shared" si="647"/>
        <v/>
      </c>
      <c r="AS364" t="str">
        <f t="shared" si="648"/>
        <v/>
      </c>
      <c r="AT364" t="str">
        <f t="shared" si="649"/>
        <v/>
      </c>
      <c r="AU364" t="str">
        <f t="shared" si="634"/>
        <v/>
      </c>
      <c r="AV364" t="str">
        <f t="shared" si="635"/>
        <v/>
      </c>
      <c r="AW364" t="str">
        <f t="shared" si="636"/>
        <v/>
      </c>
      <c r="AX364" t="str">
        <f t="shared" si="637"/>
        <v/>
      </c>
      <c r="AY364" t="str">
        <f t="shared" si="638"/>
        <v/>
      </c>
      <c r="AZ364" t="str">
        <f t="shared" si="639"/>
        <v/>
      </c>
      <c r="BA364" t="str">
        <f t="shared" si="640"/>
        <v/>
      </c>
      <c r="BB364" t="str">
        <f t="shared" si="641"/>
        <v/>
      </c>
      <c r="BC364" t="str">
        <f t="shared" si="642"/>
        <v/>
      </c>
      <c r="BD364" t="str">
        <f t="shared" si="643"/>
        <v/>
      </c>
      <c r="BE364" t="str">
        <f t="shared" si="644"/>
        <v/>
      </c>
      <c r="BF364" t="str">
        <f t="shared" si="645"/>
        <v/>
      </c>
      <c r="BG364" t="str">
        <f t="shared" si="650"/>
        <v/>
      </c>
      <c r="BH364" t="str">
        <f t="shared" si="646"/>
        <v/>
      </c>
    </row>
    <row r="365" spans="43:60">
      <c r="AQ365" t="str">
        <f t="shared" si="652"/>
        <v/>
      </c>
      <c r="AR365" t="str">
        <f t="shared" si="647"/>
        <v/>
      </c>
      <c r="AS365" t="str">
        <f t="shared" si="648"/>
        <v/>
      </c>
      <c r="AT365" t="str">
        <f t="shared" si="649"/>
        <v/>
      </c>
      <c r="AU365" t="str">
        <f t="shared" si="634"/>
        <v/>
      </c>
      <c r="AV365" t="str">
        <f t="shared" si="635"/>
        <v/>
      </c>
      <c r="AW365" t="str">
        <f t="shared" si="636"/>
        <v/>
      </c>
      <c r="AX365" t="str">
        <f t="shared" si="637"/>
        <v/>
      </c>
      <c r="AY365" t="str">
        <f t="shared" si="638"/>
        <v/>
      </c>
      <c r="AZ365" t="str">
        <f t="shared" si="639"/>
        <v/>
      </c>
      <c r="BA365" t="str">
        <f t="shared" si="640"/>
        <v/>
      </c>
      <c r="BB365" t="str">
        <f t="shared" si="641"/>
        <v/>
      </c>
      <c r="BC365" t="str">
        <f t="shared" si="642"/>
        <v/>
      </c>
      <c r="BD365" t="str">
        <f t="shared" si="643"/>
        <v/>
      </c>
      <c r="BE365" t="str">
        <f t="shared" si="644"/>
        <v/>
      </c>
      <c r="BF365" t="str">
        <f t="shared" si="645"/>
        <v/>
      </c>
      <c r="BG365" t="str">
        <f t="shared" si="650"/>
        <v/>
      </c>
      <c r="BH365" t="str">
        <f t="shared" si="646"/>
        <v/>
      </c>
    </row>
    <row r="366" spans="43:60">
      <c r="AQ366" t="str">
        <f t="shared" si="652"/>
        <v/>
      </c>
      <c r="AR366" t="str">
        <f t="shared" si="647"/>
        <v/>
      </c>
      <c r="AS366" t="str">
        <f t="shared" si="648"/>
        <v/>
      </c>
      <c r="AT366" t="str">
        <f t="shared" si="649"/>
        <v/>
      </c>
      <c r="AU366" t="str">
        <f t="shared" si="634"/>
        <v/>
      </c>
      <c r="AV366" t="str">
        <f t="shared" si="635"/>
        <v/>
      </c>
      <c r="AW366" t="str">
        <f t="shared" si="636"/>
        <v/>
      </c>
      <c r="AX366" t="str">
        <f t="shared" si="637"/>
        <v/>
      </c>
      <c r="AY366" t="str">
        <f t="shared" si="638"/>
        <v/>
      </c>
      <c r="AZ366" t="str">
        <f t="shared" si="639"/>
        <v/>
      </c>
      <c r="BA366" t="str">
        <f t="shared" si="640"/>
        <v/>
      </c>
      <c r="BB366" t="str">
        <f t="shared" si="641"/>
        <v/>
      </c>
      <c r="BC366" t="str">
        <f t="shared" si="642"/>
        <v/>
      </c>
      <c r="BD366" t="str">
        <f t="shared" si="643"/>
        <v/>
      </c>
      <c r="BE366" t="str">
        <f t="shared" si="644"/>
        <v/>
      </c>
      <c r="BF366" t="str">
        <f t="shared" si="645"/>
        <v/>
      </c>
      <c r="BG366" t="str">
        <f t="shared" si="650"/>
        <v/>
      </c>
      <c r="BH366" t="str">
        <f t="shared" si="646"/>
        <v/>
      </c>
    </row>
    <row r="367" spans="43:60">
      <c r="AQ367" t="str">
        <f t="shared" si="652"/>
        <v/>
      </c>
      <c r="AR367" t="str">
        <f t="shared" si="647"/>
        <v/>
      </c>
      <c r="AS367" t="str">
        <f t="shared" si="648"/>
        <v/>
      </c>
      <c r="AT367" t="str">
        <f t="shared" si="649"/>
        <v/>
      </c>
      <c r="AU367" t="str">
        <f t="shared" si="634"/>
        <v/>
      </c>
      <c r="AV367" t="str">
        <f t="shared" si="635"/>
        <v/>
      </c>
      <c r="AW367" t="str">
        <f t="shared" si="636"/>
        <v/>
      </c>
      <c r="AX367" t="str">
        <f t="shared" si="637"/>
        <v/>
      </c>
      <c r="AY367" t="str">
        <f t="shared" si="638"/>
        <v/>
      </c>
      <c r="AZ367" t="str">
        <f t="shared" si="639"/>
        <v/>
      </c>
      <c r="BA367" t="str">
        <f t="shared" si="640"/>
        <v/>
      </c>
      <c r="BB367" t="str">
        <f t="shared" si="641"/>
        <v/>
      </c>
      <c r="BC367" t="str">
        <f t="shared" si="642"/>
        <v/>
      </c>
      <c r="BD367" t="str">
        <f t="shared" si="643"/>
        <v/>
      </c>
      <c r="BE367" t="str">
        <f t="shared" si="644"/>
        <v/>
      </c>
      <c r="BF367" t="str">
        <f t="shared" si="645"/>
        <v/>
      </c>
      <c r="BG367" t="str">
        <f t="shared" si="650"/>
        <v/>
      </c>
      <c r="BH367" t="str">
        <f t="shared" si="646"/>
        <v/>
      </c>
    </row>
    <row r="368" spans="43:60">
      <c r="AQ368" t="str">
        <f t="shared" si="652"/>
        <v/>
      </c>
      <c r="AR368" t="str">
        <f t="shared" si="647"/>
        <v/>
      </c>
      <c r="AS368" t="str">
        <f t="shared" si="648"/>
        <v/>
      </c>
      <c r="AT368" t="str">
        <f t="shared" si="649"/>
        <v/>
      </c>
      <c r="AU368" t="str">
        <f t="shared" si="634"/>
        <v/>
      </c>
      <c r="AV368" t="str">
        <f t="shared" si="635"/>
        <v/>
      </c>
      <c r="AW368" t="str">
        <f t="shared" si="636"/>
        <v/>
      </c>
      <c r="AX368" t="str">
        <f t="shared" si="637"/>
        <v/>
      </c>
      <c r="AY368" t="str">
        <f t="shared" si="638"/>
        <v/>
      </c>
      <c r="AZ368" t="str">
        <f t="shared" si="639"/>
        <v/>
      </c>
      <c r="BA368" t="str">
        <f t="shared" si="640"/>
        <v/>
      </c>
      <c r="BB368" t="str">
        <f t="shared" si="641"/>
        <v/>
      </c>
      <c r="BC368" t="str">
        <f t="shared" si="642"/>
        <v/>
      </c>
      <c r="BD368" t="str">
        <f t="shared" si="643"/>
        <v/>
      </c>
      <c r="BE368" t="str">
        <f t="shared" si="644"/>
        <v/>
      </c>
      <c r="BF368" t="str">
        <f t="shared" si="645"/>
        <v/>
      </c>
      <c r="BG368" t="str">
        <f t="shared" si="650"/>
        <v/>
      </c>
      <c r="BH368" t="str">
        <f t="shared" si="646"/>
        <v/>
      </c>
    </row>
    <row r="369" spans="43:60">
      <c r="AQ369" t="str">
        <f t="shared" si="652"/>
        <v/>
      </c>
      <c r="AR369" t="str">
        <f t="shared" si="647"/>
        <v/>
      </c>
      <c r="AS369" t="str">
        <f t="shared" si="648"/>
        <v/>
      </c>
      <c r="AT369" t="str">
        <f t="shared" si="649"/>
        <v/>
      </c>
      <c r="AU369" t="str">
        <f t="shared" ref="AU369:AU377" si="653" xml:space="preserve"> IF( $AR369=AU$176, IF( AND($AS369=1,$AS370=1), $AR369, VLOOKUP( MIN($AO$177-0.001,($AS369-0.5))*HitSize, $DW$4:$EZ$125, AU$175 )), "" )</f>
        <v/>
      </c>
      <c r="AV369" t="str">
        <f t="shared" ref="AV369:AV377" si="654" xml:space="preserve"> IF( $AR369=AV$176, IF( AND($AS369=1,$AS370=1), $AR369, VLOOKUP( MIN($AO$178-0.001,($AS369-0.5))*HitSize, $DY$4:$EZ$125, AV$175 )), "" )</f>
        <v/>
      </c>
      <c r="AW369" t="str">
        <f t="shared" ref="AW369:AW377" si="655" xml:space="preserve"> IF( $AR369=AW$176, IF( AND($AS369=1,$AS370=1), $AR369, VLOOKUP( MIN($AO$179-0.001,($AS369-0.5))*HitSize, $EA$4:$EZ$125, AW$175 )), "" )</f>
        <v/>
      </c>
      <c r="AX369" t="str">
        <f t="shared" ref="AX369:AX377" si="656" xml:space="preserve"> IF( $AR369=AX$176, IF( AND($AS369=1,$AS370=1), $AR369, VLOOKUP( MIN($AO$180-0.001,($AS369-0.5))*HitSize, $EE$4:$EZ$125, AX$175 )), "" )</f>
        <v/>
      </c>
      <c r="AY369" t="str">
        <f t="shared" ref="AY369:AY377" si="657" xml:space="preserve"> IF( $AR369=AY$176, IF( AND($AS369=1,$AS370=1), $AR369, VLOOKUP( MIN($AO$181-0.001,($AS369-0.5))*HitSize, $EG$4:$EZ$125, AY$175 )), "" )</f>
        <v/>
      </c>
      <c r="AZ369" t="str">
        <f t="shared" ref="AZ369:AZ377" si="658" xml:space="preserve"> IF( $AR369=AZ$176, IF( AND($AS369=1,$AS370=1), $AR369, VLOOKUP( MIN($AO$182-0.001,($AS369-0.5))*HitSize, $EC$4:$EZ$125, AZ$175 )), "" )</f>
        <v/>
      </c>
      <c r="BA369" t="str">
        <f t="shared" ref="BA369:BA377" si="659" xml:space="preserve"> IF( $AR369=BA$176, IF( AND($AS369=1,$AS370=1), $AR369, VLOOKUP( MIN($AO$183-0.001,($AS369-0.5))*HitSize, $EM$4:$EZ$125, BA$175 )), "" )</f>
        <v/>
      </c>
      <c r="BB369" t="str">
        <f t="shared" ref="BB369:BB377" si="660" xml:space="preserve"> IF( $AR369=BB$176, IF( AND($AS369=1,$AS370=1), $AR369, VLOOKUP( MIN($AO$184-0.001,($AS369-0.5))*HitSize, $EK$4:$EZ$125, BB$175 )), "" )</f>
        <v/>
      </c>
      <c r="BC369" t="str">
        <f t="shared" ref="BC369:BC377" si="661" xml:space="preserve"> IF( $AR369=BC$176, IF( AND($AS369=1,$AS370=1), $AR369, VLOOKUP( MIN($AO$185-0.001,($AS369-0.5))*HitSize, $EI$4:$EZ$125, BC$175 )), "" )</f>
        <v/>
      </c>
      <c r="BD369" t="str">
        <f t="shared" ref="BD369:BD377" si="662" xml:space="preserve"> IF( $AR369=BD$176, IF( AND($AS369=1,$AS370=1), $AR369, VLOOKUP( MIN($AO$186-0.001,($AS369-0.5))*HitSize, $EO$4:$EZ$125, BD$175 )), "" )</f>
        <v/>
      </c>
      <c r="BE369" t="str">
        <f t="shared" ref="BE369:BE377" si="663" xml:space="preserve"> IF( $AR369=BE$176, IF( AND($AS369=1,$AS370=1), $AR369, VLOOKUP( MIN($AO$187-0.001,($AS369-0.5))*HitSize, $EQ$4:$EZ$125, BE$175 )), "" )</f>
        <v/>
      </c>
      <c r="BF369" t="str">
        <f t="shared" ref="BF369:BF377" si="664" xml:space="preserve"> IF( $AR369=BF$176, IF( AND($AS369=1,$AS370=1), $AR369, VLOOKUP( MIN($AO$188-0.001,($AS369-0.5))*HitSize, $ES$4:$EZ$125, BF$175 )), "" )</f>
        <v/>
      </c>
      <c r="BG369" t="str">
        <f t="shared" si="650"/>
        <v/>
      </c>
      <c r="BH369" t="str">
        <f t="shared" ref="BH369:BH377" si="665" xml:space="preserve"> IF( $AR369=BH$176, IF( AND($AS369=1,$AS370=1), $AR369, VLOOKUP( MAX(0,$AO$190+1-$AS369-0.5)*HitSize, $EW$4:$EZ$125, BH$175 )), "" )</f>
        <v/>
      </c>
    </row>
    <row r="370" spans="43:60">
      <c r="AQ370" t="str">
        <f t="shared" si="652"/>
        <v/>
      </c>
      <c r="AR370" t="str">
        <f t="shared" ref="AR370:AR377" si="666" xml:space="preserve"> IF( AQ370&lt;&gt;"", IF( AND($AO$195&gt;0,AQ370&gt;=$AO$196,AQ370&lt;$AO$196+$AO$195), "JumpD", VLOOKUP( (AQ370-0.5-IF(AQ370&gt;$AO$196,$AO$195,0))*HitSize, $AL$177:$AN$190, 3 )), "" )</f>
        <v/>
      </c>
      <c r="AS370" t="str">
        <f t="shared" ref="AS370:AS377" si="667" xml:space="preserve"> IF( AR370&lt;&gt;"", IF( AND( $AO$195&gt;0,AQ370=($AO$196+$AO$195)), IF(AR370=$AN$199,$AO$199+1,1), IF(AR370&lt;&gt;AR369,1,AS369+1)), "" )</f>
        <v/>
      </c>
      <c r="AT370" t="str">
        <f t="shared" ref="AT370:AT377" si="668">CONCATENATE( AU370,AV370,AW370,AX370,AY370,AZ370,BA370,BB370,BC370,BD370,BE370,BF370,BG370,BH370 )</f>
        <v/>
      </c>
      <c r="AU370" t="str">
        <f t="shared" si="653"/>
        <v/>
      </c>
      <c r="AV370" t="str">
        <f t="shared" si="654"/>
        <v/>
      </c>
      <c r="AW370" t="str">
        <f t="shared" si="655"/>
        <v/>
      </c>
      <c r="AX370" t="str">
        <f t="shared" si="656"/>
        <v/>
      </c>
      <c r="AY370" t="str">
        <f t="shared" si="657"/>
        <v/>
      </c>
      <c r="AZ370" t="str">
        <f t="shared" si="658"/>
        <v/>
      </c>
      <c r="BA370" t="str">
        <f t="shared" si="659"/>
        <v/>
      </c>
      <c r="BB370" t="str">
        <f t="shared" si="660"/>
        <v/>
      </c>
      <c r="BC370" t="str">
        <f t="shared" si="661"/>
        <v/>
      </c>
      <c r="BD370" t="str">
        <f t="shared" si="662"/>
        <v/>
      </c>
      <c r="BE370" t="str">
        <f t="shared" si="663"/>
        <v/>
      </c>
      <c r="BF370" t="str">
        <f t="shared" si="664"/>
        <v/>
      </c>
      <c r="BG370" t="str">
        <f t="shared" ref="BG370:BG377" si="669" xml:space="preserve"> IF( $AR370=BG$176, $AR370, "" )</f>
        <v/>
      </c>
      <c r="BH370" t="str">
        <f t="shared" si="665"/>
        <v/>
      </c>
    </row>
    <row r="371" spans="43:60">
      <c r="AQ371" t="str">
        <f t="shared" si="652"/>
        <v/>
      </c>
      <c r="AR371" t="str">
        <f t="shared" si="666"/>
        <v/>
      </c>
      <c r="AS371" t="str">
        <f t="shared" si="667"/>
        <v/>
      </c>
      <c r="AT371" t="str">
        <f t="shared" si="668"/>
        <v/>
      </c>
      <c r="AU371" t="str">
        <f t="shared" si="653"/>
        <v/>
      </c>
      <c r="AV371" t="str">
        <f t="shared" si="654"/>
        <v/>
      </c>
      <c r="AW371" t="str">
        <f t="shared" si="655"/>
        <v/>
      </c>
      <c r="AX371" t="str">
        <f t="shared" si="656"/>
        <v/>
      </c>
      <c r="AY371" t="str">
        <f t="shared" si="657"/>
        <v/>
      </c>
      <c r="AZ371" t="str">
        <f t="shared" si="658"/>
        <v/>
      </c>
      <c r="BA371" t="str">
        <f t="shared" si="659"/>
        <v/>
      </c>
      <c r="BB371" t="str">
        <f t="shared" si="660"/>
        <v/>
      </c>
      <c r="BC371" t="str">
        <f t="shared" si="661"/>
        <v/>
      </c>
      <c r="BD371" t="str">
        <f t="shared" si="662"/>
        <v/>
      </c>
      <c r="BE371" t="str">
        <f t="shared" si="663"/>
        <v/>
      </c>
      <c r="BF371" t="str">
        <f t="shared" si="664"/>
        <v/>
      </c>
      <c r="BG371" t="str">
        <f t="shared" si="669"/>
        <v/>
      </c>
      <c r="BH371" t="str">
        <f t="shared" si="665"/>
        <v/>
      </c>
    </row>
    <row r="372" spans="43:60">
      <c r="AQ372" t="str">
        <f t="shared" si="652"/>
        <v/>
      </c>
      <c r="AR372" t="str">
        <f t="shared" si="666"/>
        <v/>
      </c>
      <c r="AS372" t="str">
        <f t="shared" si="667"/>
        <v/>
      </c>
      <c r="AT372" t="str">
        <f t="shared" si="668"/>
        <v/>
      </c>
      <c r="AU372" t="str">
        <f t="shared" si="653"/>
        <v/>
      </c>
      <c r="AV372" t="str">
        <f t="shared" si="654"/>
        <v/>
      </c>
      <c r="AW372" t="str">
        <f t="shared" si="655"/>
        <v/>
      </c>
      <c r="AX372" t="str">
        <f t="shared" si="656"/>
        <v/>
      </c>
      <c r="AY372" t="str">
        <f t="shared" si="657"/>
        <v/>
      </c>
      <c r="AZ372" t="str">
        <f t="shared" si="658"/>
        <v/>
      </c>
      <c r="BA372" t="str">
        <f t="shared" si="659"/>
        <v/>
      </c>
      <c r="BB372" t="str">
        <f t="shared" si="660"/>
        <v/>
      </c>
      <c r="BC372" t="str">
        <f t="shared" si="661"/>
        <v/>
      </c>
      <c r="BD372" t="str">
        <f t="shared" si="662"/>
        <v/>
      </c>
      <c r="BE372" t="str">
        <f t="shared" si="663"/>
        <v/>
      </c>
      <c r="BF372" t="str">
        <f t="shared" si="664"/>
        <v/>
      </c>
      <c r="BG372" t="str">
        <f t="shared" si="669"/>
        <v/>
      </c>
      <c r="BH372" t="str">
        <f t="shared" si="665"/>
        <v/>
      </c>
    </row>
    <row r="373" spans="43:60">
      <c r="AQ373" t="str">
        <f t="shared" si="652"/>
        <v/>
      </c>
      <c r="AR373" t="str">
        <f t="shared" si="666"/>
        <v/>
      </c>
      <c r="AS373" t="str">
        <f t="shared" si="667"/>
        <v/>
      </c>
      <c r="AT373" t="str">
        <f t="shared" si="668"/>
        <v/>
      </c>
      <c r="AU373" t="str">
        <f t="shared" si="653"/>
        <v/>
      </c>
      <c r="AV373" t="str">
        <f t="shared" si="654"/>
        <v/>
      </c>
      <c r="AW373" t="str">
        <f t="shared" si="655"/>
        <v/>
      </c>
      <c r="AX373" t="str">
        <f t="shared" si="656"/>
        <v/>
      </c>
      <c r="AY373" t="str">
        <f t="shared" si="657"/>
        <v/>
      </c>
      <c r="AZ373" t="str">
        <f t="shared" si="658"/>
        <v/>
      </c>
      <c r="BA373" t="str">
        <f t="shared" si="659"/>
        <v/>
      </c>
      <c r="BB373" t="str">
        <f t="shared" si="660"/>
        <v/>
      </c>
      <c r="BC373" t="str">
        <f t="shared" si="661"/>
        <v/>
      </c>
      <c r="BD373" t="str">
        <f t="shared" si="662"/>
        <v/>
      </c>
      <c r="BE373" t="str">
        <f t="shared" si="663"/>
        <v/>
      </c>
      <c r="BF373" t="str">
        <f t="shared" si="664"/>
        <v/>
      </c>
      <c r="BG373" t="str">
        <f t="shared" si="669"/>
        <v/>
      </c>
      <c r="BH373" t="str">
        <f t="shared" si="665"/>
        <v/>
      </c>
    </row>
    <row r="374" spans="43:60">
      <c r="AQ374" t="str">
        <f t="shared" si="652"/>
        <v/>
      </c>
      <c r="AR374" t="str">
        <f t="shared" si="666"/>
        <v/>
      </c>
      <c r="AS374" t="str">
        <f t="shared" si="667"/>
        <v/>
      </c>
      <c r="AT374" t="str">
        <f t="shared" si="668"/>
        <v/>
      </c>
      <c r="AU374" t="str">
        <f t="shared" si="653"/>
        <v/>
      </c>
      <c r="AV374" t="str">
        <f t="shared" si="654"/>
        <v/>
      </c>
      <c r="AW374" t="str">
        <f t="shared" si="655"/>
        <v/>
      </c>
      <c r="AX374" t="str">
        <f t="shared" si="656"/>
        <v/>
      </c>
      <c r="AY374" t="str">
        <f t="shared" si="657"/>
        <v/>
      </c>
      <c r="AZ374" t="str">
        <f t="shared" si="658"/>
        <v/>
      </c>
      <c r="BA374" t="str">
        <f t="shared" si="659"/>
        <v/>
      </c>
      <c r="BB374" t="str">
        <f t="shared" si="660"/>
        <v/>
      </c>
      <c r="BC374" t="str">
        <f t="shared" si="661"/>
        <v/>
      </c>
      <c r="BD374" t="str">
        <f t="shared" si="662"/>
        <v/>
      </c>
      <c r="BE374" t="str">
        <f t="shared" si="663"/>
        <v/>
      </c>
      <c r="BF374" t="str">
        <f t="shared" si="664"/>
        <v/>
      </c>
      <c r="BG374" t="str">
        <f t="shared" si="669"/>
        <v/>
      </c>
      <c r="BH374" t="str">
        <f t="shared" si="665"/>
        <v/>
      </c>
    </row>
    <row r="375" spans="43:60">
      <c r="AQ375" t="str">
        <f t="shared" si="652"/>
        <v/>
      </c>
      <c r="AR375" t="str">
        <f t="shared" si="666"/>
        <v/>
      </c>
      <c r="AS375" t="str">
        <f t="shared" si="667"/>
        <v/>
      </c>
      <c r="AT375" t="str">
        <f t="shared" si="668"/>
        <v/>
      </c>
      <c r="AU375" t="str">
        <f t="shared" si="653"/>
        <v/>
      </c>
      <c r="AV375" t="str">
        <f t="shared" si="654"/>
        <v/>
      </c>
      <c r="AW375" t="str">
        <f t="shared" si="655"/>
        <v/>
      </c>
      <c r="AX375" t="str">
        <f t="shared" si="656"/>
        <v/>
      </c>
      <c r="AY375" t="str">
        <f t="shared" si="657"/>
        <v/>
      </c>
      <c r="AZ375" t="str">
        <f t="shared" si="658"/>
        <v/>
      </c>
      <c r="BA375" t="str">
        <f t="shared" si="659"/>
        <v/>
      </c>
      <c r="BB375" t="str">
        <f t="shared" si="660"/>
        <v/>
      </c>
      <c r="BC375" t="str">
        <f t="shared" si="661"/>
        <v/>
      </c>
      <c r="BD375" t="str">
        <f t="shared" si="662"/>
        <v/>
      </c>
      <c r="BE375" t="str">
        <f t="shared" si="663"/>
        <v/>
      </c>
      <c r="BF375" t="str">
        <f t="shared" si="664"/>
        <v/>
      </c>
      <c r="BG375" t="str">
        <f t="shared" si="669"/>
        <v/>
      </c>
      <c r="BH375" t="str">
        <f t="shared" si="665"/>
        <v/>
      </c>
    </row>
    <row r="376" spans="43:60">
      <c r="AQ376" t="str">
        <f t="shared" si="652"/>
        <v/>
      </c>
      <c r="AR376" t="str">
        <f t="shared" si="666"/>
        <v/>
      </c>
      <c r="AS376" t="str">
        <f t="shared" si="667"/>
        <v/>
      </c>
      <c r="AT376" t="str">
        <f t="shared" si="668"/>
        <v/>
      </c>
      <c r="AU376" t="str">
        <f t="shared" si="653"/>
        <v/>
      </c>
      <c r="AV376" t="str">
        <f t="shared" si="654"/>
        <v/>
      </c>
      <c r="AW376" t="str">
        <f t="shared" si="655"/>
        <v/>
      </c>
      <c r="AX376" t="str">
        <f t="shared" si="656"/>
        <v/>
      </c>
      <c r="AY376" t="str">
        <f t="shared" si="657"/>
        <v/>
      </c>
      <c r="AZ376" t="str">
        <f t="shared" si="658"/>
        <v/>
      </c>
      <c r="BA376" t="str">
        <f t="shared" si="659"/>
        <v/>
      </c>
      <c r="BB376" t="str">
        <f t="shared" si="660"/>
        <v/>
      </c>
      <c r="BC376" t="str">
        <f t="shared" si="661"/>
        <v/>
      </c>
      <c r="BD376" t="str">
        <f t="shared" si="662"/>
        <v/>
      </c>
      <c r="BE376" t="str">
        <f t="shared" si="663"/>
        <v/>
      </c>
      <c r="BF376" t="str">
        <f t="shared" si="664"/>
        <v/>
      </c>
      <c r="BG376" t="str">
        <f t="shared" si="669"/>
        <v/>
      </c>
      <c r="BH376" t="str">
        <f t="shared" si="665"/>
        <v/>
      </c>
    </row>
    <row r="377" spans="43:60">
      <c r="AQ377" t="str">
        <f t="shared" ref="AQ377" si="670" xml:space="preserve"> IF( AQ376&lt;&gt;"", IF( AQ376&lt;$AR$175, AQ376+1, "" ), "" )</f>
        <v/>
      </c>
      <c r="AR377" t="str">
        <f t="shared" si="666"/>
        <v/>
      </c>
      <c r="AS377" t="str">
        <f t="shared" si="667"/>
        <v/>
      </c>
      <c r="AT377" t="str">
        <f t="shared" si="668"/>
        <v/>
      </c>
      <c r="AU377" t="str">
        <f t="shared" si="653"/>
        <v/>
      </c>
      <c r="AV377" t="str">
        <f t="shared" si="654"/>
        <v/>
      </c>
      <c r="AW377" t="str">
        <f t="shared" si="655"/>
        <v/>
      </c>
      <c r="AX377" t="str">
        <f t="shared" si="656"/>
        <v/>
      </c>
      <c r="AY377" t="str">
        <f t="shared" si="657"/>
        <v/>
      </c>
      <c r="AZ377" t="str">
        <f t="shared" si="658"/>
        <v/>
      </c>
      <c r="BA377" t="str">
        <f t="shared" si="659"/>
        <v/>
      </c>
      <c r="BB377" t="str">
        <f t="shared" si="660"/>
        <v/>
      </c>
      <c r="BC377" t="str">
        <f t="shared" si="661"/>
        <v/>
      </c>
      <c r="BD377" t="str">
        <f t="shared" si="662"/>
        <v/>
      </c>
      <c r="BE377" t="str">
        <f t="shared" si="663"/>
        <v/>
      </c>
      <c r="BF377" t="str">
        <f t="shared" si="664"/>
        <v/>
      </c>
      <c r="BG377" t="str">
        <f t="shared" si="669"/>
        <v/>
      </c>
      <c r="BH377" t="str">
        <f t="shared" si="665"/>
        <v/>
      </c>
    </row>
    <row r="378" spans="43:60">
      <c r="AQ378" t="s">
        <v>203</v>
      </c>
      <c r="AR378" t="s">
        <v>203</v>
      </c>
      <c r="AS378" t="s">
        <v>203</v>
      </c>
      <c r="AT378" t="s">
        <v>203</v>
      </c>
      <c r="AU378" t="s">
        <v>203</v>
      </c>
      <c r="AV378" t="s">
        <v>203</v>
      </c>
      <c r="AW378" t="s">
        <v>203</v>
      </c>
      <c r="AX378" t="s">
        <v>203</v>
      </c>
      <c r="AY378" t="s">
        <v>203</v>
      </c>
      <c r="AZ378" t="s">
        <v>203</v>
      </c>
      <c r="BA378" t="s">
        <v>203</v>
      </c>
      <c r="BB378" t="s">
        <v>203</v>
      </c>
      <c r="BC378" t="s">
        <v>203</v>
      </c>
      <c r="BD378" t="s">
        <v>203</v>
      </c>
      <c r="BE378" t="s">
        <v>203</v>
      </c>
      <c r="BF378" t="s">
        <v>203</v>
      </c>
      <c r="BG378" t="s">
        <v>203</v>
      </c>
      <c r="BH378" t="s">
        <v>203</v>
      </c>
    </row>
  </sheetData>
  <phoneticPr fontId="11" type="noConversion"/>
  <conditionalFormatting sqref="L169:L172">
    <cfRule type="cellIs" dxfId="7" priority="0" stopIfTrue="1" operator="greaterThan">
      <formula>0.05</formula>
    </cfRule>
  </conditionalFormatting>
  <conditionalFormatting sqref="K1:K2 R24:R27">
    <cfRule type="cellIs" dxfId="6" priority="0" stopIfTrue="1" operator="lessThan">
      <formula>-50</formula>
    </cfRule>
  </conditionalFormatting>
  <conditionalFormatting sqref="C95:C96">
    <cfRule type="cellIs" dxfId="5" priority="0" stopIfTrue="1" operator="lessThanOrEqual">
      <formula>-50</formula>
    </cfRule>
  </conditionalFormatting>
  <conditionalFormatting sqref="S3:S123">
    <cfRule type="cellIs" dxfId="4" priority="0" stopIfTrue="1" operator="greaterThan">
      <formula>TL+1</formula>
    </cfRule>
    <cfRule type="cellIs" dxfId="3" priority="0" stopIfTrue="1" operator="between">
      <formula>TL+0.001</formula>
      <formula>TL+1</formula>
    </cfRule>
  </conditionalFormatting>
  <conditionalFormatting sqref="I29">
    <cfRule type="cellIs" dxfId="2" priority="0" stopIfTrue="1" operator="greaterThanOrEqual">
      <formula>2</formula>
    </cfRule>
  </conditionalFormatting>
  <conditionalFormatting sqref="C7">
    <cfRule type="cellIs" dxfId="1" priority="0" stopIfTrue="1" operator="equal">
      <formula>"None"</formula>
    </cfRule>
  </conditionalFormatting>
  <conditionalFormatting sqref="L168">
    <cfRule type="cellIs" dxfId="0" priority="0" stopIfTrue="1" operator="greaterThan">
      <formula>0.05</formula>
    </cfRule>
  </conditionalFormatting>
  <dataValidations xWindow="112" yWindow="125" count="35">
    <dataValidation type="list" allowBlank="1" showInputMessage="1" showErrorMessage="1" sqref="A52:A59">
      <formula1>ValidSensors</formula1>
    </dataValidation>
    <dataValidation type="list" allowBlank="1" showInputMessage="1" showErrorMessage="1" sqref="C52:C59">
      <formula1>ValidMounts</formula1>
    </dataValidation>
    <dataValidation type="list" showInputMessage="1" showErrorMessage="1" sqref="D8:D12">
      <formula1>ValidAntiLayers</formula1>
    </dataValidation>
    <dataValidation type="list" allowBlank="1" showInputMessage="1" showErrorMessage="1" sqref="A111:A113">
      <formula1>ValidScreens</formula1>
    </dataValidation>
    <dataValidation type="list" allowBlank="1" showInputMessage="1" showErrorMessage="1" sqref="C111:C113">
      <formula1>ValidScreenMounts</formula1>
    </dataValidation>
    <dataValidation type="list" allowBlank="1" showInputMessage="1" showErrorMessage="1" sqref="D7">
      <formula1>ValidCoatings</formula1>
    </dataValidation>
    <dataValidation type="list" allowBlank="1" showInputMessage="1" showErrorMessage="1" sqref="C13">
      <formula1>$AQ$13:$AS$13</formula1>
    </dataValidation>
    <dataValidation type="list" allowBlank="1" showInputMessage="1" showErrorMessage="1" sqref="C5">
      <formula1>ValidConfigs</formula1>
    </dataValidation>
    <dataValidation type="list" showInputMessage="1" showErrorMessage="1" sqref="C14">
      <formula1>$AQ$14:$AS$14</formula1>
    </dataValidation>
    <dataValidation type="list" showInputMessage="1" showErrorMessage="1" sqref="C15">
      <formula1>$AQ$15:$AS$15</formula1>
    </dataValidation>
    <dataValidation type="list" showInputMessage="1" showErrorMessage="1" sqref="C16">
      <formula1>$AQ$16:$AS$16</formula1>
    </dataValidation>
    <dataValidation type="list" allowBlank="1" showInputMessage="1" showErrorMessage="1" sqref="C6">
      <formula1>$AQ6:$AU6</formula1>
    </dataValidation>
    <dataValidation type="list" allowBlank="1" showInputMessage="1" showErrorMessage="1" sqref="C99:C108">
      <formula1>CO99:CW99</formula1>
    </dataValidation>
    <dataValidation type="list" allowBlank="1" showInputMessage="1" showErrorMessage="1" sqref="D52:D59 D111:D113 D99:D108">
      <formula1>$DE52:$DJ52</formula1>
    </dataValidation>
    <dataValidation type="list" allowBlank="1" showInputMessage="1" showErrorMessage="1" sqref="A99:A105">
      <formula1>ValidWeapons</formula1>
    </dataValidation>
    <dataValidation type="list" allowBlank="1" showInputMessage="1" showErrorMessage="1" sqref="C116:C119">
      <formula1>StandardCraft</formula1>
    </dataValidation>
    <dataValidation type="list" allowBlank="1" showInputMessage="1" showErrorMessage="1" sqref="D76">
      <formula1>ValidBarracks</formula1>
    </dataValidation>
    <dataValidation type="list" allowBlank="1" showInputMessage="1" showErrorMessage="1" sqref="D38">
      <formula1>ValidOvertonnage</formula1>
    </dataValidation>
    <dataValidation type="list" allowBlank="1" showInputMessage="1" showErrorMessage="1" sqref="C21:C22">
      <formula1>StandardPods</formula1>
    </dataValidation>
    <dataValidation type="list" allowBlank="1" showInputMessage="1" showErrorMessage="1" sqref="A30:A32">
      <formula1>ValidDrives</formula1>
    </dataValidation>
    <dataValidation type="list" allowBlank="1" showInputMessage="1" showErrorMessage="1" sqref="A33:A34">
      <formula1>ValidPower</formula1>
    </dataValidation>
    <dataValidation type="list" allowBlank="1" showInputMessage="1" showErrorMessage="1" sqref="C46:C47">
      <formula1>ValidConsoles</formula1>
    </dataValidation>
    <dataValidation type="list" allowBlank="1" showInputMessage="1" showErrorMessage="1" sqref="C38">
      <formula1>ValidCentralisiation</formula1>
    </dataValidation>
    <dataValidation type="list" allowBlank="1" showInputMessage="1" showErrorMessage="1" sqref="A106:A108">
      <formula1>ValidTurretWpns</formula1>
    </dataValidation>
    <dataValidation type="list" allowBlank="1" showInputMessage="1" showErrorMessage="1" sqref="Q46:Q47">
      <formula1>ValidBrains</formula1>
    </dataValidation>
    <dataValidation type="list" allowBlank="1" showInputMessage="1" showErrorMessage="1" sqref="R46:R47">
      <formula1>ValidBrainEDU</formula1>
    </dataValidation>
    <dataValidation type="whole" allowBlank="1" showInputMessage="1" showErrorMessage="1" promptTitle="Jump Field" prompt="-1: Jump Plates_x000d_0:  Jump Grid_x000d_1:  Jump Bubble_x000d_2:  Auto" sqref="G29">
      <formula1>-1</formula1>
      <formula2>2</formula2>
    </dataValidation>
    <dataValidation type="list" allowBlank="1" showInputMessage="1" showErrorMessage="1" sqref="Q14:Q15">
      <formula1>$BL14:$BO14</formula1>
    </dataValidation>
    <dataValidation type="list" allowBlank="1" showInputMessage="1" showErrorMessage="1" sqref="A21:A22">
      <formula1>$BK21:$BM21</formula1>
    </dataValidation>
    <dataValidation type="list" allowBlank="1" showInputMessage="1" showErrorMessage="1" sqref="A18">
      <formula1>ValidGrapples</formula1>
    </dataValidation>
    <dataValidation type="list" allowBlank="1" showInputMessage="1" showErrorMessage="1" sqref="E1:F1">
      <formula1>ValidLetters</formula1>
    </dataValidation>
    <dataValidation type="list" allowBlank="1" showInputMessage="1" showErrorMessage="1" sqref="A116:A119">
      <formula1>$BK116:$BP116</formula1>
    </dataValidation>
    <dataValidation type="list" allowBlank="1" showInputMessage="1" showErrorMessage="1" sqref="A64">
      <formula1>ValidBunks</formula1>
    </dataValidation>
    <dataValidation type="whole" operator="greaterThan" showInputMessage="1" showErrorMessage="1" promptTitle="Drive Selection Method" prompt="-1: Drive Table_x000d_0: EP calculation_x000d_1: Size Formulæ" sqref="A3">
      <formula1>-100</formula1>
    </dataValidation>
    <dataValidation type="whole" operator="greaterThan" showInputMessage="1" showErrorMessage="1" promptTitle="Default settings" prompt="0: Civilian_x000d_1: Paramilitary_x000d_2: Military_x000d__x000d_Higher default gives better sensors and more weapons." sqref="A2">
      <formula1>-100</formula1>
    </dataValidation>
  </dataValidations>
  <pageMargins left="0.79000000000000015" right="0.39000000000000007" top="0.6889763779527559" bottom="0.39000000000000007" header="0.39000000000000007" footer="0.39000000000000007"/>
  <headerFooter>
    <oddHeader>&amp;C&amp;F&amp;R&amp;P(&amp;N)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D540"/>
  <sheetViews>
    <sheetView topLeftCell="A290" workbookViewId="0"/>
  </sheetViews>
  <sheetFormatPr baseColWidth="10" defaultRowHeight="13"/>
  <cols>
    <col min="1" max="16384" width="10.7109375" style="120"/>
  </cols>
  <sheetData>
    <row r="1" spans="1:4">
      <c r="A1" s="113" t="s">
        <v>922</v>
      </c>
      <c r="B1" s="113" t="s">
        <v>257</v>
      </c>
      <c r="C1" s="113" t="s">
        <v>922</v>
      </c>
      <c r="D1" s="113" t="s">
        <v>258</v>
      </c>
    </row>
    <row r="2" spans="1:4">
      <c r="A2" s="128" t="str">
        <f>""</f>
        <v/>
      </c>
      <c r="B2" s="128">
        <v>0</v>
      </c>
      <c r="C2" s="128" t="str">
        <f>"0"</f>
        <v>0</v>
      </c>
      <c r="D2" s="128" t="s">
        <v>969</v>
      </c>
    </row>
    <row r="3" spans="1:4">
      <c r="A3" s="128" t="str">
        <f>"0"</f>
        <v>0</v>
      </c>
      <c r="B3" s="128">
        <v>0</v>
      </c>
      <c r="C3" s="128" t="str">
        <f>"0"</f>
        <v>0</v>
      </c>
      <c r="D3" s="128" t="s">
        <v>969</v>
      </c>
    </row>
    <row r="4" spans="1:4">
      <c r="A4" s="128" t="str">
        <f>"1"</f>
        <v>1</v>
      </c>
      <c r="B4" s="128">
        <v>1</v>
      </c>
      <c r="C4" s="128" t="str">
        <f>"1"</f>
        <v>1</v>
      </c>
      <c r="D4" s="128" t="s">
        <v>606</v>
      </c>
    </row>
    <row r="5" spans="1:4">
      <c r="A5" s="128" t="str">
        <f>"2"</f>
        <v>2</v>
      </c>
      <c r="B5" s="128">
        <v>2</v>
      </c>
      <c r="C5" s="128" t="str">
        <f>"2"</f>
        <v>2</v>
      </c>
      <c r="D5" s="128" t="s">
        <v>607</v>
      </c>
    </row>
    <row r="6" spans="1:4">
      <c r="A6" s="128" t="str">
        <f>"3"</f>
        <v>3</v>
      </c>
      <c r="B6" s="128">
        <v>3</v>
      </c>
      <c r="C6" s="128" t="str">
        <f>"3"</f>
        <v>3</v>
      </c>
      <c r="D6" s="128" t="s">
        <v>176</v>
      </c>
    </row>
    <row r="7" spans="1:4">
      <c r="A7" s="128" t="str">
        <f>"4"</f>
        <v>4</v>
      </c>
      <c r="B7" s="128">
        <v>4</v>
      </c>
      <c r="C7" s="128" t="str">
        <f>"4"</f>
        <v>4</v>
      </c>
      <c r="D7" s="128" t="s">
        <v>7</v>
      </c>
    </row>
    <row r="8" spans="1:4">
      <c r="A8" s="128" t="str">
        <f>"5"</f>
        <v>5</v>
      </c>
      <c r="B8" s="128">
        <v>5</v>
      </c>
      <c r="C8" s="128" t="str">
        <f>"5"</f>
        <v>5</v>
      </c>
      <c r="D8" s="128" t="s">
        <v>209</v>
      </c>
    </row>
    <row r="9" spans="1:4">
      <c r="A9" s="128" t="str">
        <f>"6"</f>
        <v>6</v>
      </c>
      <c r="B9" s="128">
        <v>6</v>
      </c>
      <c r="C9" s="128" t="str">
        <f>"6"</f>
        <v>6</v>
      </c>
      <c r="D9" s="128" t="s">
        <v>608</v>
      </c>
    </row>
    <row r="10" spans="1:4">
      <c r="A10" s="128" t="str">
        <f>"7"</f>
        <v>7</v>
      </c>
      <c r="B10" s="128">
        <v>7</v>
      </c>
      <c r="C10" s="128" t="str">
        <f>"7"</f>
        <v>7</v>
      </c>
      <c r="D10" s="128" t="s">
        <v>826</v>
      </c>
    </row>
    <row r="11" spans="1:4">
      <c r="A11" s="128" t="str">
        <f>"8"</f>
        <v>8</v>
      </c>
      <c r="B11" s="128">
        <v>8</v>
      </c>
      <c r="C11" s="128" t="str">
        <f>"8"</f>
        <v>8</v>
      </c>
      <c r="D11" s="128" t="s">
        <v>185</v>
      </c>
    </row>
    <row r="12" spans="1:4">
      <c r="A12" s="128" t="str">
        <f>"9"</f>
        <v>9</v>
      </c>
      <c r="B12" s="128">
        <v>9</v>
      </c>
      <c r="C12" s="128" t="str">
        <f>"9"</f>
        <v>9</v>
      </c>
      <c r="D12" s="128" t="s">
        <v>186</v>
      </c>
    </row>
    <row r="13" spans="1:4">
      <c r="A13" s="128" t="s">
        <v>889</v>
      </c>
      <c r="B13" s="128">
        <v>10</v>
      </c>
      <c r="C13" s="128" t="s">
        <v>889</v>
      </c>
      <c r="D13" s="128" t="s">
        <v>663</v>
      </c>
    </row>
    <row r="14" spans="1:4">
      <c r="A14" s="128" t="s">
        <v>655</v>
      </c>
      <c r="B14" s="128">
        <v>11</v>
      </c>
      <c r="C14" s="128" t="s">
        <v>655</v>
      </c>
      <c r="D14" s="128" t="s">
        <v>664</v>
      </c>
    </row>
    <row r="15" spans="1:4">
      <c r="A15" s="128" t="s">
        <v>765</v>
      </c>
      <c r="B15" s="128">
        <v>12</v>
      </c>
      <c r="C15" s="128" t="s">
        <v>765</v>
      </c>
      <c r="D15" s="128" t="s">
        <v>665</v>
      </c>
    </row>
    <row r="16" spans="1:4">
      <c r="A16" s="128" t="s">
        <v>13</v>
      </c>
      <c r="B16" s="128">
        <v>13</v>
      </c>
      <c r="C16" s="128" t="s">
        <v>13</v>
      </c>
      <c r="D16" s="128"/>
    </row>
    <row r="17" spans="1:4">
      <c r="A17" s="128" t="s">
        <v>472</v>
      </c>
      <c r="B17" s="128">
        <v>14</v>
      </c>
      <c r="C17" s="128" t="s">
        <v>472</v>
      </c>
      <c r="D17" s="128"/>
    </row>
    <row r="18" spans="1:4">
      <c r="A18" s="128" t="s">
        <v>489</v>
      </c>
      <c r="B18" s="128">
        <v>15</v>
      </c>
      <c r="C18" s="128" t="s">
        <v>489</v>
      </c>
      <c r="D18" s="128"/>
    </row>
    <row r="19" spans="1:4">
      <c r="A19" s="128" t="s">
        <v>686</v>
      </c>
      <c r="B19" s="128">
        <v>16</v>
      </c>
      <c r="C19" s="128" t="s">
        <v>686</v>
      </c>
      <c r="D19" s="128"/>
    </row>
    <row r="20" spans="1:4">
      <c r="A20" s="128" t="s">
        <v>290</v>
      </c>
      <c r="B20" s="128">
        <v>17</v>
      </c>
      <c r="C20" s="128" t="s">
        <v>290</v>
      </c>
      <c r="D20" s="128"/>
    </row>
    <row r="21" spans="1:4">
      <c r="A21" s="128" t="s">
        <v>1112</v>
      </c>
      <c r="B21" s="128">
        <v>18</v>
      </c>
      <c r="C21" s="128" t="s">
        <v>1112</v>
      </c>
      <c r="D21" s="128"/>
    </row>
    <row r="22" spans="1:4">
      <c r="A22" s="128" t="s">
        <v>1113</v>
      </c>
      <c r="B22" s="128">
        <v>19</v>
      </c>
      <c r="C22" s="128" t="s">
        <v>1113</v>
      </c>
      <c r="D22" s="128"/>
    </row>
    <row r="23" spans="1:4">
      <c r="A23" s="128" t="s">
        <v>447</v>
      </c>
      <c r="B23" s="128">
        <v>20</v>
      </c>
      <c r="C23" s="128" t="s">
        <v>447</v>
      </c>
      <c r="D23" s="128"/>
    </row>
    <row r="24" spans="1:4">
      <c r="A24" s="128" t="s">
        <v>878</v>
      </c>
      <c r="B24" s="128">
        <v>21</v>
      </c>
      <c r="C24" s="128" t="s">
        <v>878</v>
      </c>
      <c r="D24" s="128"/>
    </row>
    <row r="25" spans="1:4">
      <c r="A25" s="128" t="s">
        <v>505</v>
      </c>
      <c r="B25" s="128">
        <v>22</v>
      </c>
      <c r="C25" s="128" t="s">
        <v>505</v>
      </c>
      <c r="D25" s="128"/>
    </row>
    <row r="26" spans="1:4">
      <c r="A26" s="128" t="s">
        <v>15</v>
      </c>
      <c r="B26" s="128">
        <v>23</v>
      </c>
      <c r="C26" s="128" t="s">
        <v>15</v>
      </c>
      <c r="D26" s="128"/>
    </row>
    <row r="27" spans="1:4">
      <c r="A27" s="128" t="s">
        <v>16</v>
      </c>
      <c r="B27" s="128">
        <v>24</v>
      </c>
      <c r="C27" s="128" t="s">
        <v>16</v>
      </c>
      <c r="D27" s="128"/>
    </row>
    <row r="28" spans="1:4">
      <c r="A28" s="128" t="s">
        <v>17</v>
      </c>
      <c r="B28" s="128">
        <v>25</v>
      </c>
      <c r="C28" s="128" t="s">
        <v>17</v>
      </c>
      <c r="D28" s="128"/>
    </row>
    <row r="29" spans="1:4">
      <c r="A29" s="128" t="s">
        <v>18</v>
      </c>
      <c r="B29" s="128">
        <v>26</v>
      </c>
      <c r="C29" s="128" t="s">
        <v>18</v>
      </c>
      <c r="D29" s="128"/>
    </row>
    <row r="30" spans="1:4">
      <c r="A30" s="128" t="s">
        <v>32</v>
      </c>
      <c r="B30" s="128">
        <v>27</v>
      </c>
      <c r="C30" s="128" t="s">
        <v>32</v>
      </c>
      <c r="D30" s="128"/>
    </row>
    <row r="31" spans="1:4">
      <c r="A31" s="128" t="s">
        <v>195</v>
      </c>
      <c r="B31" s="128">
        <v>28</v>
      </c>
      <c r="C31" s="128" t="s">
        <v>195</v>
      </c>
      <c r="D31" s="128"/>
    </row>
    <row r="32" spans="1:4">
      <c r="A32" s="128" t="s">
        <v>938</v>
      </c>
      <c r="B32" s="128">
        <v>29</v>
      </c>
      <c r="C32" s="128" t="s">
        <v>938</v>
      </c>
      <c r="D32" s="128"/>
    </row>
    <row r="33" spans="1:4">
      <c r="A33" s="128" t="s">
        <v>8</v>
      </c>
      <c r="B33" s="128">
        <v>30</v>
      </c>
      <c r="C33" s="128" t="s">
        <v>8</v>
      </c>
      <c r="D33" s="128"/>
    </row>
    <row r="34" spans="1:4">
      <c r="A34" s="128" t="s">
        <v>320</v>
      </c>
      <c r="B34" s="128">
        <v>31</v>
      </c>
      <c r="C34" s="128" t="s">
        <v>320</v>
      </c>
      <c r="D34" s="128"/>
    </row>
    <row r="35" spans="1:4">
      <c r="A35" s="128" t="s">
        <v>465</v>
      </c>
      <c r="B35" s="128">
        <v>32</v>
      </c>
      <c r="C35" s="128" t="s">
        <v>465</v>
      </c>
      <c r="D35" s="128"/>
    </row>
    <row r="36" spans="1:4">
      <c r="A36" s="128" t="s">
        <v>859</v>
      </c>
      <c r="B36" s="128">
        <v>33</v>
      </c>
      <c r="C36" s="128" t="s">
        <v>859</v>
      </c>
      <c r="D36" s="128"/>
    </row>
    <row r="37" spans="1:4">
      <c r="A37" s="128"/>
      <c r="B37" s="128"/>
      <c r="C37" s="128"/>
    </row>
    <row r="38" spans="1:4">
      <c r="A38" s="128"/>
      <c r="B38" s="128"/>
      <c r="C38" s="128"/>
    </row>
    <row r="39" spans="1:4">
      <c r="A39" s="112" t="s">
        <v>761</v>
      </c>
      <c r="B39" s="128"/>
      <c r="C39" s="128"/>
    </row>
    <row r="40" spans="1:4">
      <c r="A40" s="128">
        <v>0</v>
      </c>
      <c r="B40" s="128" t="s">
        <v>776</v>
      </c>
      <c r="C40" s="128" t="s">
        <v>777</v>
      </c>
      <c r="D40" s="120" t="s">
        <v>953</v>
      </c>
    </row>
    <row r="41" spans="1:4">
      <c r="A41" s="128">
        <v>500</v>
      </c>
      <c r="B41" s="128" t="s">
        <v>762</v>
      </c>
      <c r="C41" s="128" t="s">
        <v>952</v>
      </c>
      <c r="D41" s="120" t="s">
        <v>953</v>
      </c>
    </row>
    <row r="42" spans="1:4">
      <c r="A42" s="128">
        <v>1000</v>
      </c>
      <c r="B42" s="128" t="s">
        <v>950</v>
      </c>
      <c r="C42" s="128" t="s">
        <v>954</v>
      </c>
      <c r="D42" s="120" t="s">
        <v>955</v>
      </c>
    </row>
    <row r="43" spans="1:4">
      <c r="A43" s="128">
        <v>3000</v>
      </c>
      <c r="B43" s="128" t="s">
        <v>951</v>
      </c>
      <c r="C43" s="128" t="s">
        <v>956</v>
      </c>
      <c r="D43" s="120" t="s">
        <v>956</v>
      </c>
    </row>
    <row r="44" spans="1:4">
      <c r="A44" s="128">
        <v>10000</v>
      </c>
      <c r="B44" s="128" t="s">
        <v>418</v>
      </c>
      <c r="C44" s="128" t="s">
        <v>779</v>
      </c>
      <c r="D44" s="120" t="s">
        <v>780</v>
      </c>
    </row>
    <row r="45" spans="1:4">
      <c r="A45" s="128">
        <v>40000</v>
      </c>
      <c r="B45" s="128" t="s">
        <v>88</v>
      </c>
      <c r="C45" s="128" t="s">
        <v>952</v>
      </c>
      <c r="D45" s="120" t="s">
        <v>781</v>
      </c>
    </row>
    <row r="46" spans="1:4">
      <c r="A46" s="128">
        <v>80000</v>
      </c>
      <c r="B46" s="128" t="s">
        <v>89</v>
      </c>
      <c r="C46" s="128" t="s">
        <v>417</v>
      </c>
      <c r="D46" s="120" t="s">
        <v>952</v>
      </c>
    </row>
    <row r="47" spans="1:4">
      <c r="A47" s="128">
        <v>120000</v>
      </c>
      <c r="B47" s="128" t="s">
        <v>785</v>
      </c>
      <c r="C47" s="128" t="s">
        <v>417</v>
      </c>
      <c r="D47" s="120" t="s">
        <v>417</v>
      </c>
    </row>
    <row r="48" spans="1:4">
      <c r="A48" s="128"/>
      <c r="B48" s="128"/>
      <c r="C48" s="128"/>
    </row>
    <row r="49" spans="1:11">
      <c r="A49" s="128"/>
      <c r="B49" s="128"/>
      <c r="C49" s="128"/>
    </row>
    <row r="50" spans="1:11">
      <c r="A50" s="94" t="s">
        <v>778</v>
      </c>
      <c r="B50" s="128"/>
      <c r="C50" s="128"/>
      <c r="D50" s="128" t="s">
        <v>765</v>
      </c>
      <c r="E50" s="128" t="s">
        <v>655</v>
      </c>
      <c r="F50" s="128" t="s">
        <v>15</v>
      </c>
      <c r="G50" s="128" t="s">
        <v>195</v>
      </c>
      <c r="H50" s="128" t="s">
        <v>18</v>
      </c>
      <c r="I50" s="128" t="s">
        <v>889</v>
      </c>
      <c r="J50" s="128" t="s">
        <v>447</v>
      </c>
      <c r="K50" s="128" t="s">
        <v>895</v>
      </c>
    </row>
    <row r="51" spans="1:11">
      <c r="A51" s="120">
        <v>-9999</v>
      </c>
      <c r="B51" s="128" t="str">
        <f>" "</f>
        <v xml:space="preserve"> 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1</v>
      </c>
    </row>
    <row r="52" spans="1:11">
      <c r="A52" s="120">
        <v>1</v>
      </c>
      <c r="B52" s="120" t="str">
        <f>"1"</f>
        <v>1</v>
      </c>
      <c r="C52" s="120">
        <v>10</v>
      </c>
      <c r="D52" s="120">
        <v>0.2</v>
      </c>
      <c r="E52" s="120">
        <v>0.3</v>
      </c>
      <c r="F52" s="120">
        <v>0.1</v>
      </c>
      <c r="G52" s="120">
        <v>0.5</v>
      </c>
      <c r="H52" s="120">
        <v>0.8</v>
      </c>
      <c r="I52" s="120">
        <v>0.8</v>
      </c>
      <c r="J52" s="120">
        <v>1.6</v>
      </c>
      <c r="K52" s="120">
        <v>1</v>
      </c>
    </row>
    <row r="53" spans="1:11">
      <c r="A53" s="120">
        <v>20</v>
      </c>
      <c r="B53" s="120" t="str">
        <f>"2"</f>
        <v>2</v>
      </c>
      <c r="C53" s="120">
        <v>20</v>
      </c>
      <c r="D53" s="120">
        <v>0.4</v>
      </c>
      <c r="E53" s="120">
        <v>0.6</v>
      </c>
      <c r="F53" s="120">
        <f>F51+0.1</f>
        <v>0.1</v>
      </c>
      <c r="G53" s="120">
        <v>0.8</v>
      </c>
      <c r="H53" s="120">
        <v>1.4</v>
      </c>
      <c r="I53" s="120">
        <v>1.4</v>
      </c>
      <c r="J53" s="120">
        <v>2.8</v>
      </c>
      <c r="K53" s="120">
        <v>1</v>
      </c>
    </row>
    <row r="54" spans="1:11">
      <c r="A54" s="120">
        <v>30</v>
      </c>
      <c r="B54" s="120" t="str">
        <f>"3"</f>
        <v>3</v>
      </c>
      <c r="C54" s="120">
        <v>30</v>
      </c>
      <c r="D54" s="120">
        <v>0.6</v>
      </c>
      <c r="E54" s="120">
        <v>0.9</v>
      </c>
      <c r="F54" s="120">
        <f t="shared" ref="F54:F60" si="0">F53+0.1</f>
        <v>0.2</v>
      </c>
      <c r="G54" s="120">
        <v>1.1000000000000001</v>
      </c>
      <c r="H54" s="120">
        <v>2</v>
      </c>
      <c r="I54" s="120">
        <v>2</v>
      </c>
      <c r="J54" s="120">
        <v>4</v>
      </c>
      <c r="K54" s="120">
        <v>2</v>
      </c>
    </row>
    <row r="55" spans="1:11">
      <c r="A55" s="120">
        <v>40</v>
      </c>
      <c r="B55" s="120" t="str">
        <f>"4"</f>
        <v>4</v>
      </c>
      <c r="C55" s="120">
        <v>40</v>
      </c>
      <c r="D55" s="120">
        <v>0.8</v>
      </c>
      <c r="E55" s="120">
        <v>1.2</v>
      </c>
      <c r="F55" s="120">
        <f t="shared" si="0"/>
        <v>0.30000000000000004</v>
      </c>
      <c r="G55" s="120">
        <v>1.4</v>
      </c>
      <c r="H55" s="120">
        <v>2.6</v>
      </c>
      <c r="I55" s="120">
        <v>2.6</v>
      </c>
      <c r="J55" s="120">
        <v>5.2</v>
      </c>
      <c r="K55" s="120">
        <v>3</v>
      </c>
    </row>
    <row r="56" spans="1:11">
      <c r="A56" s="120">
        <v>50</v>
      </c>
      <c r="B56" s="120" t="str">
        <f>"5"</f>
        <v>5</v>
      </c>
      <c r="C56" s="120">
        <v>50</v>
      </c>
      <c r="D56" s="120">
        <v>1.1000000000000001</v>
      </c>
      <c r="E56" s="120">
        <v>1.6</v>
      </c>
      <c r="F56" s="120">
        <f t="shared" si="0"/>
        <v>0.4</v>
      </c>
      <c r="G56" s="120">
        <v>1.7</v>
      </c>
      <c r="H56" s="120">
        <v>3.2</v>
      </c>
      <c r="I56" s="120">
        <v>3.2</v>
      </c>
      <c r="J56" s="120">
        <v>6.4</v>
      </c>
      <c r="K56" s="120">
        <v>3</v>
      </c>
    </row>
    <row r="57" spans="1:11">
      <c r="A57" s="120">
        <v>60</v>
      </c>
      <c r="B57" s="120" t="str">
        <f>"6"</f>
        <v>6</v>
      </c>
      <c r="C57" s="120">
        <v>60</v>
      </c>
      <c r="D57" s="120">
        <v>1.3</v>
      </c>
      <c r="E57" s="120">
        <v>1.9</v>
      </c>
      <c r="F57" s="120">
        <f t="shared" si="0"/>
        <v>0.5</v>
      </c>
      <c r="G57" s="120">
        <v>2</v>
      </c>
      <c r="H57" s="120">
        <v>3.8</v>
      </c>
      <c r="I57" s="120">
        <v>3.8</v>
      </c>
      <c r="J57" s="120">
        <v>7.6</v>
      </c>
      <c r="K57" s="120">
        <v>4</v>
      </c>
    </row>
    <row r="58" spans="1:11">
      <c r="A58" s="120">
        <v>70</v>
      </c>
      <c r="B58" s="120" t="str">
        <f>"7"</f>
        <v>7</v>
      </c>
      <c r="C58" s="120">
        <v>70</v>
      </c>
      <c r="D58" s="120">
        <v>1.5</v>
      </c>
      <c r="E58" s="120">
        <v>2.2000000000000002</v>
      </c>
      <c r="F58" s="120">
        <f t="shared" si="0"/>
        <v>0.6</v>
      </c>
      <c r="G58" s="120">
        <v>2.2999999999999998</v>
      </c>
      <c r="H58" s="120">
        <v>4.4000000000000004</v>
      </c>
      <c r="I58" s="120">
        <v>4.4000000000000004</v>
      </c>
      <c r="J58" s="120">
        <v>8.8000000000000007</v>
      </c>
      <c r="K58" s="120">
        <v>4</v>
      </c>
    </row>
    <row r="59" spans="1:11">
      <c r="A59" s="120">
        <v>80</v>
      </c>
      <c r="B59" s="120" t="str">
        <f>"8"</f>
        <v>8</v>
      </c>
      <c r="C59" s="120">
        <v>80</v>
      </c>
      <c r="D59" s="120">
        <v>1.7</v>
      </c>
      <c r="E59" s="120">
        <v>2.5</v>
      </c>
      <c r="F59" s="120">
        <f t="shared" si="0"/>
        <v>0.7</v>
      </c>
      <c r="G59" s="120">
        <v>2.6</v>
      </c>
      <c r="H59" s="120">
        <v>5</v>
      </c>
      <c r="I59" s="120">
        <v>5</v>
      </c>
      <c r="J59" s="120">
        <v>10</v>
      </c>
      <c r="K59" s="120">
        <v>4</v>
      </c>
    </row>
    <row r="60" spans="1:11">
      <c r="A60" s="120">
        <v>90</v>
      </c>
      <c r="B60" s="120" t="str">
        <f>"9"</f>
        <v>9</v>
      </c>
      <c r="C60" s="120">
        <v>90</v>
      </c>
      <c r="D60" s="120">
        <v>2</v>
      </c>
      <c r="E60" s="120">
        <v>2.9</v>
      </c>
      <c r="F60" s="120">
        <f t="shared" si="0"/>
        <v>0.79999999999999993</v>
      </c>
      <c r="G60" s="120">
        <v>2.9</v>
      </c>
      <c r="H60" s="120">
        <v>5.6</v>
      </c>
      <c r="I60" s="120">
        <v>5.6</v>
      </c>
      <c r="J60" s="120">
        <v>11.2</v>
      </c>
      <c r="K60" s="120">
        <v>5</v>
      </c>
    </row>
    <row r="61" spans="1:11">
      <c r="A61" s="120">
        <v>100</v>
      </c>
      <c r="B61" s="120" t="s">
        <v>889</v>
      </c>
      <c r="C61" s="120">
        <v>100</v>
      </c>
      <c r="D61" s="120">
        <v>2</v>
      </c>
      <c r="E61" s="120">
        <v>3</v>
      </c>
      <c r="F61" s="120">
        <v>1</v>
      </c>
      <c r="G61" s="120">
        <v>5</v>
      </c>
      <c r="H61" s="120">
        <v>8</v>
      </c>
      <c r="I61" s="120">
        <f>H61+A61/100</f>
        <v>9</v>
      </c>
      <c r="J61" s="120">
        <v>16</v>
      </c>
      <c r="K61" s="120">
        <v>5</v>
      </c>
    </row>
    <row r="62" spans="1:11">
      <c r="A62" s="120">
        <v>200</v>
      </c>
      <c r="B62" s="120" t="s">
        <v>655</v>
      </c>
      <c r="C62" s="120">
        <f>C61+100</f>
        <v>200</v>
      </c>
      <c r="D62" s="120">
        <v>4</v>
      </c>
      <c r="E62" s="120">
        <f>E61+3</f>
        <v>6</v>
      </c>
      <c r="F62" s="120">
        <f>F61+1</f>
        <v>2</v>
      </c>
      <c r="G62" s="120">
        <v>8</v>
      </c>
      <c r="H62" s="120">
        <v>14</v>
      </c>
      <c r="I62" s="120">
        <f t="shared" ref="I62:I84" si="1">H62+A62/100</f>
        <v>16</v>
      </c>
      <c r="J62" s="120">
        <f>J61+12</f>
        <v>28</v>
      </c>
    </row>
    <row r="63" spans="1:11">
      <c r="A63" s="120">
        <v>300</v>
      </c>
      <c r="B63" s="120" t="s">
        <v>765</v>
      </c>
      <c r="C63" s="120">
        <f t="shared" ref="C63:C84" si="2">C62+100</f>
        <v>300</v>
      </c>
      <c r="D63" s="120">
        <v>6</v>
      </c>
      <c r="E63" s="120">
        <f t="shared" ref="E63:E84" si="3">E62+3</f>
        <v>9</v>
      </c>
      <c r="F63" s="120">
        <f t="shared" ref="F63:F84" si="4">F62+1</f>
        <v>3</v>
      </c>
      <c r="G63" s="120">
        <v>11</v>
      </c>
      <c r="H63" s="120">
        <v>20</v>
      </c>
      <c r="I63" s="120">
        <f t="shared" si="1"/>
        <v>23</v>
      </c>
      <c r="J63" s="120">
        <f>J62+12</f>
        <v>40</v>
      </c>
    </row>
    <row r="64" spans="1:11">
      <c r="A64" s="120">
        <v>400</v>
      </c>
      <c r="B64" s="120" t="s">
        <v>13</v>
      </c>
      <c r="C64" s="120">
        <f t="shared" si="2"/>
        <v>400</v>
      </c>
      <c r="D64" s="120">
        <f>D63+2</f>
        <v>8</v>
      </c>
      <c r="E64" s="120">
        <f t="shared" si="3"/>
        <v>12</v>
      </c>
      <c r="F64" s="120">
        <f t="shared" si="4"/>
        <v>4</v>
      </c>
      <c r="G64" s="120">
        <v>14</v>
      </c>
      <c r="H64" s="120">
        <v>26</v>
      </c>
      <c r="I64" s="120">
        <f t="shared" si="1"/>
        <v>30</v>
      </c>
      <c r="J64" s="120">
        <f>J63+12</f>
        <v>52</v>
      </c>
    </row>
    <row r="65" spans="1:10">
      <c r="A65" s="120">
        <v>500</v>
      </c>
      <c r="B65" s="120" t="s">
        <v>472</v>
      </c>
      <c r="C65" s="120">
        <f t="shared" si="2"/>
        <v>500</v>
      </c>
      <c r="D65" s="120">
        <f t="shared" ref="D65:D84" si="5">D64+2</f>
        <v>10</v>
      </c>
      <c r="E65" s="120">
        <f t="shared" si="3"/>
        <v>15</v>
      </c>
      <c r="F65" s="120">
        <f t="shared" si="4"/>
        <v>5</v>
      </c>
      <c r="G65" s="120">
        <f>G64+3</f>
        <v>17</v>
      </c>
      <c r="H65" s="120">
        <v>32</v>
      </c>
      <c r="I65" s="120">
        <f t="shared" si="1"/>
        <v>37</v>
      </c>
      <c r="J65" s="120">
        <f t="shared" ref="J65:J84" si="6">J64+12</f>
        <v>64</v>
      </c>
    </row>
    <row r="66" spans="1:10">
      <c r="A66" s="120">
        <v>600</v>
      </c>
      <c r="B66" s="120" t="s">
        <v>489</v>
      </c>
      <c r="C66" s="120">
        <f t="shared" si="2"/>
        <v>600</v>
      </c>
      <c r="D66" s="120">
        <f t="shared" si="5"/>
        <v>12</v>
      </c>
      <c r="E66" s="120">
        <f t="shared" si="3"/>
        <v>18</v>
      </c>
      <c r="F66" s="120">
        <f t="shared" si="4"/>
        <v>6</v>
      </c>
      <c r="G66" s="120">
        <f t="shared" ref="G66:G84" si="7">G65+3</f>
        <v>20</v>
      </c>
      <c r="H66" s="120">
        <f>H65+6</f>
        <v>38</v>
      </c>
      <c r="I66" s="120">
        <f t="shared" si="1"/>
        <v>44</v>
      </c>
      <c r="J66" s="120">
        <f t="shared" si="6"/>
        <v>76</v>
      </c>
    </row>
    <row r="67" spans="1:10">
      <c r="A67" s="120">
        <v>700</v>
      </c>
      <c r="B67" s="120" t="s">
        <v>686</v>
      </c>
      <c r="C67" s="120">
        <f t="shared" si="2"/>
        <v>700</v>
      </c>
      <c r="D67" s="120">
        <f t="shared" si="5"/>
        <v>14</v>
      </c>
      <c r="E67" s="120">
        <f t="shared" si="3"/>
        <v>21</v>
      </c>
      <c r="F67" s="120">
        <f t="shared" si="4"/>
        <v>7</v>
      </c>
      <c r="G67" s="120">
        <f t="shared" si="7"/>
        <v>23</v>
      </c>
      <c r="H67" s="120">
        <f t="shared" ref="H67:H84" si="8">H66+6</f>
        <v>44</v>
      </c>
      <c r="I67" s="120">
        <f t="shared" si="1"/>
        <v>51</v>
      </c>
      <c r="J67" s="120">
        <f t="shared" si="6"/>
        <v>88</v>
      </c>
    </row>
    <row r="68" spans="1:10">
      <c r="A68" s="120">
        <v>800</v>
      </c>
      <c r="B68" s="120" t="s">
        <v>290</v>
      </c>
      <c r="C68" s="120">
        <f t="shared" si="2"/>
        <v>800</v>
      </c>
      <c r="D68" s="120">
        <f t="shared" si="5"/>
        <v>16</v>
      </c>
      <c r="E68" s="120">
        <f t="shared" si="3"/>
        <v>24</v>
      </c>
      <c r="F68" s="120">
        <f t="shared" si="4"/>
        <v>8</v>
      </c>
      <c r="G68" s="120">
        <f t="shared" si="7"/>
        <v>26</v>
      </c>
      <c r="H68" s="120">
        <f t="shared" si="8"/>
        <v>50</v>
      </c>
      <c r="I68" s="120">
        <f t="shared" si="1"/>
        <v>58</v>
      </c>
      <c r="J68" s="120">
        <f t="shared" si="6"/>
        <v>100</v>
      </c>
    </row>
    <row r="69" spans="1:10">
      <c r="A69" s="120">
        <v>900</v>
      </c>
      <c r="B69" s="120" t="s">
        <v>1112</v>
      </c>
      <c r="C69" s="120">
        <f t="shared" si="2"/>
        <v>900</v>
      </c>
      <c r="D69" s="120">
        <f t="shared" si="5"/>
        <v>18</v>
      </c>
      <c r="E69" s="120">
        <f t="shared" si="3"/>
        <v>27</v>
      </c>
      <c r="F69" s="120">
        <f t="shared" si="4"/>
        <v>9</v>
      </c>
      <c r="G69" s="120">
        <f t="shared" si="7"/>
        <v>29</v>
      </c>
      <c r="H69" s="120">
        <f t="shared" si="8"/>
        <v>56</v>
      </c>
      <c r="I69" s="120">
        <f t="shared" si="1"/>
        <v>65</v>
      </c>
      <c r="J69" s="120">
        <f t="shared" si="6"/>
        <v>112</v>
      </c>
    </row>
    <row r="70" spans="1:10">
      <c r="A70" s="120">
        <v>1000</v>
      </c>
      <c r="B70" s="120" t="s">
        <v>1113</v>
      </c>
      <c r="C70" s="120">
        <f t="shared" si="2"/>
        <v>1000</v>
      </c>
      <c r="D70" s="120">
        <f t="shared" si="5"/>
        <v>20</v>
      </c>
      <c r="E70" s="120">
        <f t="shared" si="3"/>
        <v>30</v>
      </c>
      <c r="F70" s="120">
        <f t="shared" si="4"/>
        <v>10</v>
      </c>
      <c r="G70" s="120">
        <f t="shared" si="7"/>
        <v>32</v>
      </c>
      <c r="H70" s="120">
        <f t="shared" si="8"/>
        <v>62</v>
      </c>
      <c r="I70" s="120">
        <f t="shared" si="1"/>
        <v>72</v>
      </c>
      <c r="J70" s="120">
        <f t="shared" si="6"/>
        <v>124</v>
      </c>
    </row>
    <row r="71" spans="1:10">
      <c r="A71" s="120">
        <v>1100</v>
      </c>
      <c r="B71" s="120" t="s">
        <v>447</v>
      </c>
      <c r="C71" s="120">
        <f t="shared" si="2"/>
        <v>1100</v>
      </c>
      <c r="D71" s="120">
        <f t="shared" si="5"/>
        <v>22</v>
      </c>
      <c r="E71" s="120">
        <f t="shared" si="3"/>
        <v>33</v>
      </c>
      <c r="F71" s="120">
        <f t="shared" si="4"/>
        <v>11</v>
      </c>
      <c r="G71" s="120">
        <f t="shared" si="7"/>
        <v>35</v>
      </c>
      <c r="H71" s="120">
        <f t="shared" si="8"/>
        <v>68</v>
      </c>
      <c r="I71" s="120">
        <f t="shared" si="1"/>
        <v>79</v>
      </c>
      <c r="J71" s="120">
        <f t="shared" si="6"/>
        <v>136</v>
      </c>
    </row>
    <row r="72" spans="1:10">
      <c r="A72" s="120">
        <v>1200</v>
      </c>
      <c r="B72" s="120" t="s">
        <v>878</v>
      </c>
      <c r="C72" s="120">
        <f t="shared" si="2"/>
        <v>1200</v>
      </c>
      <c r="D72" s="120">
        <f t="shared" si="5"/>
        <v>24</v>
      </c>
      <c r="E72" s="120">
        <f t="shared" si="3"/>
        <v>36</v>
      </c>
      <c r="F72" s="120">
        <f t="shared" si="4"/>
        <v>12</v>
      </c>
      <c r="G72" s="120">
        <f t="shared" si="7"/>
        <v>38</v>
      </c>
      <c r="H72" s="120">
        <f t="shared" si="8"/>
        <v>74</v>
      </c>
      <c r="I72" s="120">
        <f t="shared" si="1"/>
        <v>86</v>
      </c>
      <c r="J72" s="120">
        <f t="shared" si="6"/>
        <v>148</v>
      </c>
    </row>
    <row r="73" spans="1:10">
      <c r="A73" s="120">
        <v>1300</v>
      </c>
      <c r="B73" s="120" t="s">
        <v>505</v>
      </c>
      <c r="C73" s="120">
        <f t="shared" si="2"/>
        <v>1300</v>
      </c>
      <c r="D73" s="120">
        <f t="shared" si="5"/>
        <v>26</v>
      </c>
      <c r="E73" s="120">
        <f t="shared" si="3"/>
        <v>39</v>
      </c>
      <c r="F73" s="120">
        <f t="shared" si="4"/>
        <v>13</v>
      </c>
      <c r="G73" s="120">
        <f t="shared" si="7"/>
        <v>41</v>
      </c>
      <c r="H73" s="120">
        <f t="shared" si="8"/>
        <v>80</v>
      </c>
      <c r="I73" s="120">
        <f t="shared" si="1"/>
        <v>93</v>
      </c>
      <c r="J73" s="120">
        <f t="shared" si="6"/>
        <v>160</v>
      </c>
    </row>
    <row r="74" spans="1:10">
      <c r="A74" s="120">
        <v>1400</v>
      </c>
      <c r="B74" s="120" t="s">
        <v>15</v>
      </c>
      <c r="C74" s="120">
        <f t="shared" si="2"/>
        <v>1400</v>
      </c>
      <c r="D74" s="120">
        <f t="shared" si="5"/>
        <v>28</v>
      </c>
      <c r="E74" s="120">
        <f t="shared" si="3"/>
        <v>42</v>
      </c>
      <c r="F74" s="120">
        <f t="shared" si="4"/>
        <v>14</v>
      </c>
      <c r="G74" s="120">
        <f t="shared" si="7"/>
        <v>44</v>
      </c>
      <c r="H74" s="120">
        <f t="shared" si="8"/>
        <v>86</v>
      </c>
      <c r="I74" s="120">
        <f t="shared" si="1"/>
        <v>100</v>
      </c>
      <c r="J74" s="120">
        <f t="shared" si="6"/>
        <v>172</v>
      </c>
    </row>
    <row r="75" spans="1:10">
      <c r="A75" s="120">
        <v>1500</v>
      </c>
      <c r="B75" s="120" t="s">
        <v>16</v>
      </c>
      <c r="C75" s="120">
        <f t="shared" si="2"/>
        <v>1500</v>
      </c>
      <c r="D75" s="120">
        <f t="shared" si="5"/>
        <v>30</v>
      </c>
      <c r="E75" s="120">
        <f t="shared" si="3"/>
        <v>45</v>
      </c>
      <c r="F75" s="120">
        <f t="shared" si="4"/>
        <v>15</v>
      </c>
      <c r="G75" s="120">
        <f t="shared" si="7"/>
        <v>47</v>
      </c>
      <c r="H75" s="120">
        <f t="shared" si="8"/>
        <v>92</v>
      </c>
      <c r="I75" s="120">
        <f t="shared" si="1"/>
        <v>107</v>
      </c>
      <c r="J75" s="120">
        <f t="shared" si="6"/>
        <v>184</v>
      </c>
    </row>
    <row r="76" spans="1:10">
      <c r="A76" s="120">
        <v>1600</v>
      </c>
      <c r="B76" s="120" t="s">
        <v>17</v>
      </c>
      <c r="C76" s="120">
        <f t="shared" si="2"/>
        <v>1600</v>
      </c>
      <c r="D76" s="120">
        <f t="shared" si="5"/>
        <v>32</v>
      </c>
      <c r="E76" s="120">
        <f t="shared" si="3"/>
        <v>48</v>
      </c>
      <c r="F76" s="120">
        <f t="shared" si="4"/>
        <v>16</v>
      </c>
      <c r="G76" s="120">
        <f t="shared" si="7"/>
        <v>50</v>
      </c>
      <c r="H76" s="120">
        <f t="shared" si="8"/>
        <v>98</v>
      </c>
      <c r="I76" s="120">
        <f t="shared" si="1"/>
        <v>114</v>
      </c>
      <c r="J76" s="120">
        <f t="shared" si="6"/>
        <v>196</v>
      </c>
    </row>
    <row r="77" spans="1:10">
      <c r="A77" s="120">
        <v>1700</v>
      </c>
      <c r="B77" s="120" t="s">
        <v>18</v>
      </c>
      <c r="C77" s="120">
        <f t="shared" si="2"/>
        <v>1700</v>
      </c>
      <c r="D77" s="120">
        <f t="shared" si="5"/>
        <v>34</v>
      </c>
      <c r="E77" s="120">
        <f t="shared" si="3"/>
        <v>51</v>
      </c>
      <c r="F77" s="120">
        <f t="shared" si="4"/>
        <v>17</v>
      </c>
      <c r="G77" s="120">
        <f t="shared" si="7"/>
        <v>53</v>
      </c>
      <c r="H77" s="120">
        <f t="shared" si="8"/>
        <v>104</v>
      </c>
      <c r="I77" s="120">
        <f t="shared" si="1"/>
        <v>121</v>
      </c>
      <c r="J77" s="120">
        <f t="shared" si="6"/>
        <v>208</v>
      </c>
    </row>
    <row r="78" spans="1:10">
      <c r="A78" s="120">
        <v>1800</v>
      </c>
      <c r="B78" s="120" t="s">
        <v>32</v>
      </c>
      <c r="C78" s="120">
        <f t="shared" si="2"/>
        <v>1800</v>
      </c>
      <c r="D78" s="120">
        <f t="shared" si="5"/>
        <v>36</v>
      </c>
      <c r="E78" s="120">
        <f t="shared" si="3"/>
        <v>54</v>
      </c>
      <c r="F78" s="120">
        <f t="shared" si="4"/>
        <v>18</v>
      </c>
      <c r="G78" s="120">
        <f t="shared" si="7"/>
        <v>56</v>
      </c>
      <c r="H78" s="120">
        <f t="shared" si="8"/>
        <v>110</v>
      </c>
      <c r="I78" s="120">
        <f t="shared" si="1"/>
        <v>128</v>
      </c>
      <c r="J78" s="120">
        <f t="shared" si="6"/>
        <v>220</v>
      </c>
    </row>
    <row r="79" spans="1:10">
      <c r="A79" s="120">
        <v>1900</v>
      </c>
      <c r="B79" s="120" t="s">
        <v>195</v>
      </c>
      <c r="C79" s="120">
        <f t="shared" si="2"/>
        <v>1900</v>
      </c>
      <c r="D79" s="120">
        <f t="shared" si="5"/>
        <v>38</v>
      </c>
      <c r="E79" s="120">
        <f t="shared" si="3"/>
        <v>57</v>
      </c>
      <c r="F79" s="120">
        <f t="shared" si="4"/>
        <v>19</v>
      </c>
      <c r="G79" s="120">
        <f t="shared" si="7"/>
        <v>59</v>
      </c>
      <c r="H79" s="120">
        <f t="shared" si="8"/>
        <v>116</v>
      </c>
      <c r="I79" s="120">
        <f t="shared" si="1"/>
        <v>135</v>
      </c>
      <c r="J79" s="120">
        <f t="shared" si="6"/>
        <v>232</v>
      </c>
    </row>
    <row r="80" spans="1:10">
      <c r="A80" s="120">
        <v>2000</v>
      </c>
      <c r="B80" s="120" t="s">
        <v>938</v>
      </c>
      <c r="C80" s="120">
        <f t="shared" si="2"/>
        <v>2000</v>
      </c>
      <c r="D80" s="120">
        <f t="shared" si="5"/>
        <v>40</v>
      </c>
      <c r="E80" s="120">
        <f t="shared" si="3"/>
        <v>60</v>
      </c>
      <c r="F80" s="120">
        <f t="shared" si="4"/>
        <v>20</v>
      </c>
      <c r="G80" s="120">
        <f t="shared" si="7"/>
        <v>62</v>
      </c>
      <c r="H80" s="120">
        <f t="shared" si="8"/>
        <v>122</v>
      </c>
      <c r="I80" s="120">
        <f t="shared" si="1"/>
        <v>142</v>
      </c>
      <c r="J80" s="120">
        <f t="shared" si="6"/>
        <v>244</v>
      </c>
    </row>
    <row r="81" spans="1:10">
      <c r="A81" s="120">
        <v>2100</v>
      </c>
      <c r="B81" s="120" t="s">
        <v>8</v>
      </c>
      <c r="C81" s="120">
        <f t="shared" si="2"/>
        <v>2100</v>
      </c>
      <c r="D81" s="120">
        <f t="shared" si="5"/>
        <v>42</v>
      </c>
      <c r="E81" s="120">
        <f t="shared" si="3"/>
        <v>63</v>
      </c>
      <c r="F81" s="120">
        <f t="shared" si="4"/>
        <v>21</v>
      </c>
      <c r="G81" s="120">
        <f t="shared" si="7"/>
        <v>65</v>
      </c>
      <c r="H81" s="120">
        <f t="shared" si="8"/>
        <v>128</v>
      </c>
      <c r="I81" s="120">
        <f t="shared" si="1"/>
        <v>149</v>
      </c>
      <c r="J81" s="120">
        <f t="shared" si="6"/>
        <v>256</v>
      </c>
    </row>
    <row r="82" spans="1:10">
      <c r="A82" s="120">
        <v>2200</v>
      </c>
      <c r="B82" s="120" t="s">
        <v>320</v>
      </c>
      <c r="C82" s="120">
        <f t="shared" si="2"/>
        <v>2200</v>
      </c>
      <c r="D82" s="120">
        <f t="shared" si="5"/>
        <v>44</v>
      </c>
      <c r="E82" s="120">
        <f t="shared" si="3"/>
        <v>66</v>
      </c>
      <c r="F82" s="120">
        <f t="shared" si="4"/>
        <v>22</v>
      </c>
      <c r="G82" s="120">
        <f t="shared" si="7"/>
        <v>68</v>
      </c>
      <c r="H82" s="120">
        <f t="shared" si="8"/>
        <v>134</v>
      </c>
      <c r="I82" s="120">
        <f t="shared" si="1"/>
        <v>156</v>
      </c>
      <c r="J82" s="120">
        <f t="shared" si="6"/>
        <v>268</v>
      </c>
    </row>
    <row r="83" spans="1:10">
      <c r="A83" s="120">
        <v>2300</v>
      </c>
      <c r="B83" s="120" t="s">
        <v>465</v>
      </c>
      <c r="C83" s="120">
        <f t="shared" si="2"/>
        <v>2300</v>
      </c>
      <c r="D83" s="120">
        <f t="shared" si="5"/>
        <v>46</v>
      </c>
      <c r="E83" s="120">
        <f t="shared" si="3"/>
        <v>69</v>
      </c>
      <c r="F83" s="120">
        <f t="shared" si="4"/>
        <v>23</v>
      </c>
      <c r="G83" s="120">
        <f t="shared" si="7"/>
        <v>71</v>
      </c>
      <c r="H83" s="120">
        <f t="shared" si="8"/>
        <v>140</v>
      </c>
      <c r="I83" s="120">
        <f t="shared" si="1"/>
        <v>163</v>
      </c>
      <c r="J83" s="120">
        <f t="shared" si="6"/>
        <v>280</v>
      </c>
    </row>
    <row r="84" spans="1:10">
      <c r="A84" s="120">
        <v>2400</v>
      </c>
      <c r="B84" s="120" t="s">
        <v>859</v>
      </c>
      <c r="C84" s="120">
        <f t="shared" si="2"/>
        <v>2400</v>
      </c>
      <c r="D84" s="120">
        <f t="shared" si="5"/>
        <v>48</v>
      </c>
      <c r="E84" s="120">
        <f t="shared" si="3"/>
        <v>72</v>
      </c>
      <c r="F84" s="120">
        <f t="shared" si="4"/>
        <v>24</v>
      </c>
      <c r="G84" s="120">
        <f t="shared" si="7"/>
        <v>74</v>
      </c>
      <c r="H84" s="120">
        <f t="shared" si="8"/>
        <v>146</v>
      </c>
      <c r="I84" s="120">
        <f t="shared" si="1"/>
        <v>170</v>
      </c>
      <c r="J84" s="120">
        <f t="shared" si="6"/>
        <v>292</v>
      </c>
    </row>
    <row r="87" spans="1:10">
      <c r="A87" s="120" t="s">
        <v>36</v>
      </c>
    </row>
    <row r="88" spans="1:10">
      <c r="A88" s="128" t="s">
        <v>748</v>
      </c>
      <c r="B88" s="128" t="s">
        <v>895</v>
      </c>
      <c r="C88" s="128" t="s">
        <v>897</v>
      </c>
    </row>
    <row r="89" spans="1:10">
      <c r="A89" s="120">
        <v>0</v>
      </c>
      <c r="B89" s="120">
        <v>1</v>
      </c>
      <c r="C89" s="120">
        <v>0</v>
      </c>
    </row>
    <row r="90" spans="1:10">
      <c r="A90" s="120">
        <v>30</v>
      </c>
      <c r="B90" s="120">
        <v>2</v>
      </c>
      <c r="C90" s="120">
        <v>1</v>
      </c>
    </row>
    <row r="91" spans="1:10">
      <c r="A91" s="120">
        <v>40</v>
      </c>
      <c r="B91" s="120">
        <v>3</v>
      </c>
      <c r="C91" s="120">
        <v>2</v>
      </c>
    </row>
    <row r="92" spans="1:10">
      <c r="A92" s="120">
        <v>60</v>
      </c>
      <c r="B92" s="120">
        <v>4</v>
      </c>
      <c r="C92" s="120">
        <v>3</v>
      </c>
    </row>
    <row r="93" spans="1:10">
      <c r="A93" s="120">
        <v>75</v>
      </c>
      <c r="B93" s="120">
        <v>4</v>
      </c>
      <c r="C93" s="120">
        <v>4</v>
      </c>
    </row>
    <row r="94" spans="1:10">
      <c r="A94" s="120">
        <v>90</v>
      </c>
      <c r="B94" s="120">
        <v>5</v>
      </c>
      <c r="C94" s="120">
        <v>4</v>
      </c>
    </row>
    <row r="95" spans="1:10">
      <c r="A95" s="120">
        <v>160</v>
      </c>
      <c r="B95" s="120">
        <v>8</v>
      </c>
      <c r="C95" s="120">
        <v>4</v>
      </c>
    </row>
    <row r="96" spans="1:10">
      <c r="A96" s="120">
        <v>550</v>
      </c>
      <c r="B96" s="120">
        <v>9</v>
      </c>
      <c r="C96" s="120">
        <v>4</v>
      </c>
    </row>
    <row r="97" spans="1:8">
      <c r="A97" s="120">
        <v>750</v>
      </c>
      <c r="B97" s="120">
        <v>11</v>
      </c>
      <c r="C97" s="120">
        <v>5</v>
      </c>
    </row>
    <row r="98" spans="1:8">
      <c r="A98" s="120">
        <v>1150</v>
      </c>
      <c r="B98" s="120">
        <v>13</v>
      </c>
      <c r="C98" s="120">
        <v>6</v>
      </c>
    </row>
    <row r="99" spans="1:8">
      <c r="A99" s="120">
        <v>1350</v>
      </c>
      <c r="B99" s="120">
        <v>15</v>
      </c>
      <c r="C99" s="120">
        <v>7</v>
      </c>
    </row>
    <row r="100" spans="1:8">
      <c r="A100" s="120">
        <v>1550</v>
      </c>
      <c r="B100" s="120">
        <v>17</v>
      </c>
      <c r="C100" s="120">
        <v>8</v>
      </c>
    </row>
    <row r="101" spans="1:8">
      <c r="A101" s="120">
        <v>1750</v>
      </c>
      <c r="B101" s="120">
        <v>19</v>
      </c>
      <c r="C101" s="120">
        <v>9</v>
      </c>
    </row>
    <row r="102" spans="1:8">
      <c r="A102" s="120">
        <v>1950</v>
      </c>
      <c r="B102" s="120">
        <v>21</v>
      </c>
      <c r="C102" s="120">
        <v>10</v>
      </c>
    </row>
    <row r="103" spans="1:8">
      <c r="A103" s="120">
        <v>2150</v>
      </c>
      <c r="B103" s="120">
        <v>23</v>
      </c>
      <c r="C103" s="120">
        <v>11</v>
      </c>
    </row>
    <row r="104" spans="1:8">
      <c r="A104" s="120">
        <v>2350</v>
      </c>
      <c r="B104" s="120">
        <v>24</v>
      </c>
      <c r="C104" s="120">
        <v>11</v>
      </c>
    </row>
    <row r="107" spans="1:8">
      <c r="A107" s="94" t="s">
        <v>189</v>
      </c>
      <c r="C107" s="128" t="s">
        <v>475</v>
      </c>
      <c r="D107" s="128" t="s">
        <v>477</v>
      </c>
      <c r="E107" s="128" t="s">
        <v>478</v>
      </c>
    </row>
    <row r="108" spans="1:8">
      <c r="A108" s="120">
        <v>-9999999</v>
      </c>
      <c r="B108" s="120" t="s">
        <v>1063</v>
      </c>
      <c r="H108" s="120" t="str">
        <f>""</f>
        <v/>
      </c>
    </row>
    <row r="109" spans="1:8">
      <c r="A109" s="120">
        <v>-49.999000000000002</v>
      </c>
      <c r="B109" s="120" t="s">
        <v>732</v>
      </c>
      <c r="C109" s="182">
        <v>-2</v>
      </c>
      <c r="D109" s="182">
        <v>-2</v>
      </c>
      <c r="E109" s="181">
        <v>1</v>
      </c>
      <c r="H109" s="120" t="s">
        <v>802</v>
      </c>
    </row>
    <row r="110" spans="1:8">
      <c r="A110" s="120">
        <v>-24.998999999999999</v>
      </c>
      <c r="B110" s="120" t="s">
        <v>183</v>
      </c>
      <c r="C110" s="182">
        <v>-1</v>
      </c>
      <c r="D110" s="182">
        <v>-1</v>
      </c>
      <c r="E110" s="181">
        <v>0.5</v>
      </c>
      <c r="H110" s="120" t="s">
        <v>1121</v>
      </c>
    </row>
    <row r="111" spans="1:8">
      <c r="A111" s="120">
        <v>-0.999</v>
      </c>
      <c r="B111" s="120" t="s">
        <v>184</v>
      </c>
      <c r="C111" s="182">
        <v>0</v>
      </c>
      <c r="D111" s="182">
        <v>0</v>
      </c>
      <c r="E111" s="181">
        <v>0</v>
      </c>
    </row>
    <row r="112" spans="1:8">
      <c r="A112" s="120">
        <v>1</v>
      </c>
      <c r="B112" s="120" t="s">
        <v>282</v>
      </c>
      <c r="C112" s="182">
        <v>1</v>
      </c>
      <c r="D112" s="182">
        <v>0</v>
      </c>
      <c r="E112" s="181">
        <v>0</v>
      </c>
    </row>
    <row r="113" spans="1:19">
      <c r="A113" s="120">
        <v>25</v>
      </c>
      <c r="B113" s="120" t="s">
        <v>188</v>
      </c>
      <c r="C113" s="182">
        <v>2</v>
      </c>
      <c r="D113" s="182">
        <v>0</v>
      </c>
      <c r="E113" s="181">
        <v>0</v>
      </c>
    </row>
    <row r="114" spans="1:19">
      <c r="A114" s="120">
        <v>50</v>
      </c>
      <c r="B114" s="120" t="s">
        <v>177</v>
      </c>
      <c r="C114" s="182">
        <v>2</v>
      </c>
      <c r="D114" s="182">
        <v>0</v>
      </c>
      <c r="E114" s="181">
        <v>0</v>
      </c>
    </row>
    <row r="117" spans="1:19">
      <c r="A117" s="120" t="s">
        <v>658</v>
      </c>
      <c r="E117" s="128" t="s">
        <v>1064</v>
      </c>
      <c r="F117" s="128" t="s">
        <v>1047</v>
      </c>
      <c r="G117" s="128" t="s">
        <v>789</v>
      </c>
      <c r="H117" s="128" t="s">
        <v>344</v>
      </c>
      <c r="I117" s="128" t="s">
        <v>965</v>
      </c>
      <c r="J117" s="128" t="s">
        <v>936</v>
      </c>
      <c r="K117" s="128" t="s">
        <v>1014</v>
      </c>
      <c r="L117" s="128" t="s">
        <v>137</v>
      </c>
      <c r="M117" s="128" t="s">
        <v>253</v>
      </c>
      <c r="N117" s="128" t="s">
        <v>130</v>
      </c>
      <c r="O117" s="128" t="s">
        <v>746</v>
      </c>
      <c r="P117" s="128" t="s">
        <v>647</v>
      </c>
      <c r="Q117" s="128" t="s">
        <v>1071</v>
      </c>
    </row>
    <row r="118" spans="1:19">
      <c r="A118" s="120">
        <v>1</v>
      </c>
      <c r="B118" s="120" t="s">
        <v>377</v>
      </c>
      <c r="C118" s="120">
        <v>1</v>
      </c>
      <c r="D118" s="120" t="s">
        <v>705</v>
      </c>
      <c r="E118" s="129">
        <v>1</v>
      </c>
      <c r="F118" s="120">
        <v>1</v>
      </c>
      <c r="G118" s="120">
        <v>-5</v>
      </c>
      <c r="H118" s="120">
        <v>-3</v>
      </c>
      <c r="I118" s="129">
        <v>1</v>
      </c>
      <c r="J118" s="120">
        <v>0</v>
      </c>
      <c r="K118" s="120">
        <v>0</v>
      </c>
      <c r="L118" s="120">
        <v>-1</v>
      </c>
      <c r="M118" s="120">
        <v>-1</v>
      </c>
      <c r="N118" s="120">
        <v>-1</v>
      </c>
      <c r="O118" s="120">
        <v>-1</v>
      </c>
      <c r="P118" s="120">
        <v>0</v>
      </c>
      <c r="Q118" s="120">
        <v>0</v>
      </c>
    </row>
    <row r="119" spans="1:19">
      <c r="A119" s="120">
        <v>2</v>
      </c>
      <c r="B119" s="120" t="s">
        <v>393</v>
      </c>
      <c r="C119" s="120">
        <v>2</v>
      </c>
      <c r="D119" s="120" t="s">
        <v>705</v>
      </c>
      <c r="E119" s="129">
        <v>1.5</v>
      </c>
      <c r="F119" s="120">
        <v>3</v>
      </c>
      <c r="G119" s="120">
        <v>-4</v>
      </c>
      <c r="H119" s="120">
        <v>-2</v>
      </c>
      <c r="I119" s="129">
        <v>1</v>
      </c>
      <c r="J119" s="120">
        <v>0</v>
      </c>
      <c r="K119" s="120">
        <v>0</v>
      </c>
      <c r="L119" s="120">
        <v>-1</v>
      </c>
      <c r="M119" s="120">
        <v>-1</v>
      </c>
      <c r="N119" s="120">
        <v>-1</v>
      </c>
      <c r="O119" s="120">
        <v>-1</v>
      </c>
      <c r="P119" s="120">
        <v>0</v>
      </c>
      <c r="Q119" s="120">
        <v>0</v>
      </c>
    </row>
    <row r="120" spans="1:19">
      <c r="A120" s="120">
        <v>3</v>
      </c>
      <c r="B120" s="120" t="s">
        <v>262</v>
      </c>
      <c r="C120" s="120">
        <v>3</v>
      </c>
      <c r="D120" s="120" t="s">
        <v>705</v>
      </c>
      <c r="E120" s="129">
        <v>0.5</v>
      </c>
      <c r="F120" s="120">
        <v>9</v>
      </c>
      <c r="G120" s="120">
        <v>-2</v>
      </c>
      <c r="H120" s="120">
        <v>-1</v>
      </c>
      <c r="I120" s="129">
        <v>0</v>
      </c>
      <c r="J120" s="120">
        <v>0</v>
      </c>
      <c r="K120" s="120">
        <v>0</v>
      </c>
      <c r="L120" s="120">
        <v>-1</v>
      </c>
      <c r="M120" s="120">
        <v>-1</v>
      </c>
      <c r="N120" s="120">
        <v>-1</v>
      </c>
      <c r="O120" s="120">
        <v>-1</v>
      </c>
      <c r="P120" s="120">
        <v>0</v>
      </c>
      <c r="Q120" s="120">
        <v>0</v>
      </c>
    </row>
    <row r="121" spans="1:19">
      <c r="A121" s="120">
        <v>4</v>
      </c>
      <c r="B121" s="120" t="s">
        <v>705</v>
      </c>
      <c r="C121" s="120">
        <v>4</v>
      </c>
      <c r="D121" s="120" t="s">
        <v>711</v>
      </c>
      <c r="E121" s="129">
        <v>1.5</v>
      </c>
      <c r="F121" s="120">
        <v>9</v>
      </c>
      <c r="G121" s="120">
        <v>-1</v>
      </c>
      <c r="H121" s="120">
        <v>0</v>
      </c>
      <c r="I121" s="129">
        <v>0.5</v>
      </c>
      <c r="J121" s="120">
        <v>0</v>
      </c>
      <c r="K121" s="120">
        <v>0</v>
      </c>
      <c r="L121" s="120">
        <v>0</v>
      </c>
      <c r="M121" s="120">
        <v>0</v>
      </c>
      <c r="N121" s="120">
        <v>0</v>
      </c>
      <c r="O121" s="120">
        <v>0</v>
      </c>
      <c r="P121" s="120">
        <v>0</v>
      </c>
      <c r="Q121" s="120">
        <v>0</v>
      </c>
    </row>
    <row r="122" spans="1:19">
      <c r="A122" s="120">
        <v>5</v>
      </c>
      <c r="B122" s="120" t="s">
        <v>112</v>
      </c>
      <c r="C122" s="120">
        <v>5</v>
      </c>
      <c r="D122" s="120" t="s">
        <v>112</v>
      </c>
      <c r="E122" s="129">
        <v>3</v>
      </c>
      <c r="F122" s="120">
        <v>9</v>
      </c>
      <c r="G122" s="120">
        <v>0</v>
      </c>
      <c r="H122" s="120">
        <v>1</v>
      </c>
      <c r="I122" s="129">
        <v>0.33</v>
      </c>
      <c r="J122" s="120">
        <v>0</v>
      </c>
      <c r="K122" s="120">
        <v>0</v>
      </c>
      <c r="L122" s="120">
        <v>0</v>
      </c>
      <c r="M122" s="120">
        <v>0</v>
      </c>
      <c r="N122" s="120">
        <v>0</v>
      </c>
      <c r="O122" s="120">
        <v>0</v>
      </c>
      <c r="P122" s="120">
        <v>0</v>
      </c>
      <c r="Q122" s="120">
        <v>0</v>
      </c>
    </row>
    <row r="123" spans="1:19">
      <c r="A123" s="120">
        <v>6</v>
      </c>
      <c r="B123" s="120" t="s">
        <v>653</v>
      </c>
      <c r="C123" s="120">
        <v>6</v>
      </c>
      <c r="D123" s="120" t="s">
        <v>112</v>
      </c>
      <c r="E123" s="129">
        <v>3.5</v>
      </c>
      <c r="F123" s="130">
        <v>9</v>
      </c>
      <c r="G123" s="222">
        <v>0</v>
      </c>
      <c r="H123" s="120">
        <v>2</v>
      </c>
      <c r="I123" s="129">
        <v>0.25</v>
      </c>
      <c r="J123" s="120">
        <v>0</v>
      </c>
      <c r="K123" s="120">
        <v>0</v>
      </c>
      <c r="L123" s="120">
        <v>1</v>
      </c>
      <c r="M123" s="120">
        <v>-1</v>
      </c>
      <c r="N123" s="120">
        <v>1</v>
      </c>
      <c r="O123" s="120">
        <v>-1</v>
      </c>
      <c r="P123" s="120">
        <v>0</v>
      </c>
      <c r="Q123" s="120">
        <v>0</v>
      </c>
      <c r="S123" s="120" t="s">
        <v>345</v>
      </c>
    </row>
    <row r="124" spans="1:19">
      <c r="A124" s="120">
        <v>7</v>
      </c>
      <c r="B124" s="120" t="s">
        <v>558</v>
      </c>
      <c r="C124" s="120">
        <v>7</v>
      </c>
      <c r="D124" s="120" t="s">
        <v>112</v>
      </c>
      <c r="E124" s="129">
        <v>6</v>
      </c>
      <c r="F124" s="130">
        <v>9</v>
      </c>
      <c r="G124" s="120">
        <v>1</v>
      </c>
      <c r="H124" s="120">
        <v>3</v>
      </c>
      <c r="I124" s="129">
        <v>0.2</v>
      </c>
      <c r="J124" s="120">
        <v>1</v>
      </c>
      <c r="K124" s="120">
        <v>0</v>
      </c>
      <c r="L124" s="120">
        <v>1</v>
      </c>
      <c r="M124" s="120">
        <v>-1</v>
      </c>
      <c r="N124" s="120">
        <v>1</v>
      </c>
      <c r="O124" s="120">
        <v>-1</v>
      </c>
      <c r="P124" s="120">
        <v>0</v>
      </c>
      <c r="Q124" s="120">
        <v>0</v>
      </c>
    </row>
    <row r="125" spans="1:19">
      <c r="D125" s="129"/>
      <c r="E125" s="129"/>
      <c r="F125" s="129"/>
      <c r="G125" s="130"/>
    </row>
    <row r="126" spans="1:19">
      <c r="D126" s="129"/>
      <c r="E126" s="129"/>
      <c r="F126" s="129"/>
      <c r="G126" s="130"/>
    </row>
    <row r="127" spans="1:19">
      <c r="A127" s="120" t="s">
        <v>1128</v>
      </c>
      <c r="D127" s="129"/>
      <c r="E127" s="129"/>
      <c r="F127" s="129"/>
      <c r="G127" s="130"/>
    </row>
    <row r="128" spans="1:19">
      <c r="A128" s="120">
        <v>1</v>
      </c>
      <c r="B128" s="120" t="s">
        <v>377</v>
      </c>
      <c r="C128">
        <v>1</v>
      </c>
      <c r="D128">
        <v>6</v>
      </c>
      <c r="E128">
        <v>6</v>
      </c>
      <c r="F128">
        <v>3</v>
      </c>
      <c r="G128">
        <v>5</v>
      </c>
    </row>
    <row r="129" spans="1:28">
      <c r="A129" s="120">
        <v>2</v>
      </c>
      <c r="B129" s="120" t="s">
        <v>393</v>
      </c>
      <c r="C129">
        <v>1</v>
      </c>
      <c r="D129">
        <v>6</v>
      </c>
      <c r="E129">
        <v>6</v>
      </c>
      <c r="F129">
        <v>3</v>
      </c>
      <c r="G129">
        <v>5</v>
      </c>
    </row>
    <row r="130" spans="1:28">
      <c r="A130" s="120">
        <v>3</v>
      </c>
      <c r="B130" s="120" t="s">
        <v>262</v>
      </c>
      <c r="C130">
        <v>4</v>
      </c>
      <c r="D130">
        <v>4</v>
      </c>
      <c r="E130">
        <v>4</v>
      </c>
      <c r="F130">
        <v>5</v>
      </c>
      <c r="G130">
        <v>5</v>
      </c>
    </row>
    <row r="131" spans="1:28">
      <c r="A131" s="120">
        <v>4</v>
      </c>
      <c r="B131" s="120" t="s">
        <v>705</v>
      </c>
      <c r="C131">
        <v>1</v>
      </c>
      <c r="D131">
        <v>6</v>
      </c>
      <c r="E131">
        <v>4</v>
      </c>
      <c r="F131">
        <v>3</v>
      </c>
      <c r="G131">
        <v>5</v>
      </c>
    </row>
    <row r="132" spans="1:28">
      <c r="A132" s="120">
        <v>5</v>
      </c>
      <c r="B132" s="120" t="s">
        <v>112</v>
      </c>
      <c r="C132">
        <v>1</v>
      </c>
      <c r="D132">
        <v>6</v>
      </c>
      <c r="E132">
        <v>2</v>
      </c>
      <c r="F132">
        <v>3</v>
      </c>
      <c r="G132">
        <v>5</v>
      </c>
    </row>
    <row r="133" spans="1:28">
      <c r="A133" s="120">
        <v>6</v>
      </c>
      <c r="B133" s="120" t="s">
        <v>653</v>
      </c>
      <c r="C133">
        <v>1</v>
      </c>
      <c r="D133">
        <v>1</v>
      </c>
      <c r="E133">
        <v>2</v>
      </c>
      <c r="F133">
        <v>3</v>
      </c>
      <c r="G133">
        <v>5</v>
      </c>
    </row>
    <row r="134" spans="1:28">
      <c r="A134" s="120">
        <v>7</v>
      </c>
      <c r="B134" s="120" t="s">
        <v>558</v>
      </c>
      <c r="C134">
        <v>2</v>
      </c>
      <c r="D134">
        <v>2</v>
      </c>
      <c r="E134">
        <v>2</v>
      </c>
      <c r="F134">
        <v>2</v>
      </c>
      <c r="G134">
        <v>2</v>
      </c>
    </row>
    <row r="135" spans="1:28">
      <c r="D135" s="129"/>
      <c r="E135" s="129"/>
      <c r="F135" s="129"/>
      <c r="G135" s="130"/>
    </row>
    <row r="136" spans="1:28">
      <c r="D136" s="129"/>
      <c r="E136" s="129"/>
      <c r="F136" s="129"/>
      <c r="G136" s="130"/>
    </row>
    <row r="137" spans="1:28">
      <c r="A137" s="120" t="s">
        <v>114</v>
      </c>
      <c r="B137" s="120" t="s">
        <v>456</v>
      </c>
      <c r="C137" s="128" t="s">
        <v>270</v>
      </c>
      <c r="D137" s="128" t="s">
        <v>129</v>
      </c>
      <c r="E137" s="131" t="s">
        <v>50</v>
      </c>
      <c r="F137" s="131" t="s">
        <v>765</v>
      </c>
      <c r="G137" s="131" t="s">
        <v>655</v>
      </c>
      <c r="H137" s="131" t="s">
        <v>15</v>
      </c>
      <c r="I137" s="131" t="s">
        <v>195</v>
      </c>
      <c r="J137" s="131" t="s">
        <v>18</v>
      </c>
      <c r="K137" s="131" t="s">
        <v>889</v>
      </c>
      <c r="L137" s="131" t="s">
        <v>447</v>
      </c>
      <c r="M137" s="131" t="s">
        <v>444</v>
      </c>
      <c r="N137" s="131" t="s">
        <v>824</v>
      </c>
      <c r="O137" s="131" t="s">
        <v>1064</v>
      </c>
      <c r="P137" s="131" t="s">
        <v>568</v>
      </c>
      <c r="Q137" s="131" t="s">
        <v>648</v>
      </c>
      <c r="R137" s="131" t="s">
        <v>357</v>
      </c>
      <c r="S137" s="131" t="s">
        <v>1127</v>
      </c>
      <c r="T137" s="131" t="s">
        <v>659</v>
      </c>
      <c r="U137" s="131" t="s">
        <v>660</v>
      </c>
      <c r="V137" s="131" t="s">
        <v>226</v>
      </c>
      <c r="W137" s="131" t="s">
        <v>410</v>
      </c>
      <c r="X137" s="131" t="s">
        <v>59</v>
      </c>
      <c r="Y137" s="131" t="s">
        <v>566</v>
      </c>
      <c r="Z137" s="131" t="s">
        <v>633</v>
      </c>
      <c r="AA137" s="131" t="s">
        <v>634</v>
      </c>
      <c r="AB137" s="131" t="s">
        <v>82</v>
      </c>
    </row>
    <row r="138" spans="1:28">
      <c r="A138" s="120">
        <v>1</v>
      </c>
      <c r="B138" s="120" t="s">
        <v>39</v>
      </c>
      <c r="C138" s="120">
        <v>6</v>
      </c>
      <c r="D138" s="120">
        <v>0</v>
      </c>
      <c r="E138" s="132">
        <v>1</v>
      </c>
      <c r="F138" s="133">
        <v>1</v>
      </c>
      <c r="G138" s="133">
        <v>1</v>
      </c>
      <c r="H138" s="133">
        <v>0</v>
      </c>
      <c r="I138" s="133">
        <v>1</v>
      </c>
      <c r="J138" s="133">
        <v>1</v>
      </c>
      <c r="K138" s="133">
        <v>1</v>
      </c>
      <c r="L138" s="133">
        <v>0</v>
      </c>
      <c r="M138" s="133" t="str">
        <f>""</f>
        <v/>
      </c>
      <c r="N138" s="133">
        <v>0</v>
      </c>
      <c r="O138" s="129">
        <v>1</v>
      </c>
      <c r="P138" s="133">
        <v>0</v>
      </c>
      <c r="Q138" s="133">
        <v>10</v>
      </c>
      <c r="R138" s="133">
        <v>0</v>
      </c>
      <c r="S138" s="133">
        <v>1</v>
      </c>
      <c r="T138" s="133">
        <v>0</v>
      </c>
      <c r="U138" s="133">
        <v>1</v>
      </c>
      <c r="V138" s="133">
        <v>0</v>
      </c>
      <c r="W138" s="133">
        <v>10</v>
      </c>
      <c r="X138" s="133">
        <v>0</v>
      </c>
      <c r="Y138" s="133">
        <v>100</v>
      </c>
      <c r="Z138" s="133">
        <v>0</v>
      </c>
      <c r="AA138" s="133">
        <v>10</v>
      </c>
      <c r="AB138" s="134">
        <v>1</v>
      </c>
    </row>
    <row r="139" spans="1:28">
      <c r="A139" s="120">
        <v>2</v>
      </c>
      <c r="B139" s="120" t="s">
        <v>40</v>
      </c>
      <c r="C139" s="120">
        <v>7</v>
      </c>
      <c r="D139" s="120">
        <v>0</v>
      </c>
      <c r="E139" s="132">
        <v>0.5</v>
      </c>
      <c r="F139" s="133">
        <v>0</v>
      </c>
      <c r="G139" s="133">
        <v>0</v>
      </c>
      <c r="H139" s="133">
        <v>0</v>
      </c>
      <c r="I139" s="133">
        <v>0</v>
      </c>
      <c r="J139" s="133">
        <v>1</v>
      </c>
      <c r="K139" s="133">
        <v>1</v>
      </c>
      <c r="L139" s="133">
        <v>1</v>
      </c>
      <c r="M139" s="133" t="str">
        <f>""</f>
        <v/>
      </c>
      <c r="N139" s="133">
        <v>0</v>
      </c>
      <c r="O139" s="129">
        <v>1</v>
      </c>
      <c r="P139" s="133">
        <v>0</v>
      </c>
      <c r="Q139" s="133">
        <v>5</v>
      </c>
      <c r="R139" s="133">
        <v>0</v>
      </c>
      <c r="S139" s="133">
        <v>1</v>
      </c>
      <c r="T139" s="133">
        <v>0</v>
      </c>
      <c r="U139" s="133">
        <v>1</v>
      </c>
      <c r="V139" s="133">
        <v>0</v>
      </c>
      <c r="W139" s="133">
        <v>5</v>
      </c>
      <c r="X139" s="133">
        <v>0</v>
      </c>
      <c r="Y139" s="133">
        <v>100</v>
      </c>
      <c r="Z139" s="133">
        <v>0</v>
      </c>
      <c r="AA139" s="133">
        <v>10</v>
      </c>
      <c r="AB139" s="134">
        <v>0.5</v>
      </c>
    </row>
    <row r="140" spans="1:28">
      <c r="A140" s="120">
        <v>3</v>
      </c>
      <c r="B140" s="120" t="s">
        <v>1034</v>
      </c>
      <c r="C140" s="120">
        <v>8</v>
      </c>
      <c r="D140" s="120">
        <v>0</v>
      </c>
      <c r="E140" s="132">
        <v>0.5</v>
      </c>
      <c r="F140" s="133">
        <v>1</v>
      </c>
      <c r="G140" s="133">
        <v>1</v>
      </c>
      <c r="H140" s="133">
        <v>0</v>
      </c>
      <c r="I140" s="133">
        <v>1</v>
      </c>
      <c r="J140" s="133">
        <v>1</v>
      </c>
      <c r="K140" s="133">
        <v>1</v>
      </c>
      <c r="L140" s="133">
        <v>0</v>
      </c>
      <c r="M140" s="133" t="s">
        <v>340</v>
      </c>
      <c r="N140" s="133">
        <v>0</v>
      </c>
      <c r="O140" s="129">
        <v>1</v>
      </c>
      <c r="P140" s="133">
        <v>0</v>
      </c>
      <c r="Q140" s="133">
        <v>5</v>
      </c>
      <c r="R140" s="133">
        <v>0</v>
      </c>
      <c r="S140" s="133">
        <v>1</v>
      </c>
      <c r="T140" s="133">
        <v>0</v>
      </c>
      <c r="U140" s="133">
        <v>1</v>
      </c>
      <c r="V140" s="133">
        <v>0</v>
      </c>
      <c r="W140" s="133">
        <v>20</v>
      </c>
      <c r="X140" s="133">
        <v>0</v>
      </c>
      <c r="Y140" s="185">
        <v>0.5</v>
      </c>
      <c r="Z140" s="133">
        <v>0</v>
      </c>
      <c r="AA140" s="133">
        <v>20</v>
      </c>
      <c r="AB140" s="134">
        <v>1</v>
      </c>
    </row>
    <row r="141" spans="1:28">
      <c r="A141" s="120">
        <v>4</v>
      </c>
      <c r="B141" s="120" t="s">
        <v>387</v>
      </c>
      <c r="C141" s="120">
        <v>8</v>
      </c>
      <c r="D141" s="120">
        <v>20</v>
      </c>
      <c r="E141" s="132">
        <v>0</v>
      </c>
      <c r="F141" s="133">
        <v>0</v>
      </c>
      <c r="G141" s="133">
        <v>0</v>
      </c>
      <c r="H141" s="133">
        <v>1</v>
      </c>
      <c r="I141" s="133">
        <v>1</v>
      </c>
      <c r="J141" s="133">
        <v>0</v>
      </c>
      <c r="K141" s="133">
        <v>0</v>
      </c>
      <c r="L141" s="133">
        <v>0</v>
      </c>
      <c r="M141" s="133" t="str">
        <f>""</f>
        <v/>
      </c>
      <c r="N141" s="133">
        <v>0</v>
      </c>
      <c r="O141" s="129">
        <v>1</v>
      </c>
      <c r="P141" s="133">
        <v>200</v>
      </c>
      <c r="Q141" s="133">
        <v>0</v>
      </c>
      <c r="R141" s="133">
        <v>200</v>
      </c>
      <c r="S141" s="133">
        <v>0</v>
      </c>
      <c r="T141" s="133">
        <v>200</v>
      </c>
      <c r="U141" s="133">
        <v>0</v>
      </c>
      <c r="V141" s="133">
        <v>200</v>
      </c>
      <c r="W141" s="133">
        <v>0</v>
      </c>
      <c r="X141" s="133">
        <v>2000</v>
      </c>
      <c r="Y141" s="133">
        <v>0</v>
      </c>
      <c r="Z141" s="133">
        <v>200</v>
      </c>
      <c r="AA141" s="133">
        <v>0</v>
      </c>
      <c r="AB141" s="134">
        <v>1</v>
      </c>
    </row>
    <row r="142" spans="1:28">
      <c r="A142" s="120">
        <v>5</v>
      </c>
      <c r="B142" s="120" t="s">
        <v>341</v>
      </c>
      <c r="C142" s="120">
        <v>8</v>
      </c>
      <c r="D142" s="120">
        <v>0</v>
      </c>
      <c r="E142" s="132">
        <v>0.5</v>
      </c>
      <c r="F142" s="133">
        <v>1</v>
      </c>
      <c r="G142" s="133">
        <v>1</v>
      </c>
      <c r="H142" s="133">
        <v>1</v>
      </c>
      <c r="I142" s="133">
        <v>1</v>
      </c>
      <c r="J142" s="133">
        <v>1</v>
      </c>
      <c r="K142" s="133">
        <v>1</v>
      </c>
      <c r="L142" s="133">
        <v>0</v>
      </c>
      <c r="M142" s="133" t="s">
        <v>223</v>
      </c>
      <c r="N142" s="133">
        <v>0</v>
      </c>
      <c r="O142" s="129">
        <v>0.5</v>
      </c>
      <c r="P142" s="133">
        <v>0</v>
      </c>
      <c r="Q142" s="133">
        <v>5</v>
      </c>
      <c r="R142" s="133">
        <v>0</v>
      </c>
      <c r="S142" s="133">
        <v>1</v>
      </c>
      <c r="T142" s="133">
        <v>0</v>
      </c>
      <c r="U142" s="133">
        <v>1</v>
      </c>
      <c r="V142" s="133">
        <v>0</v>
      </c>
      <c r="W142" s="133">
        <v>5</v>
      </c>
      <c r="X142" s="133">
        <v>0</v>
      </c>
      <c r="Y142" s="133">
        <v>5</v>
      </c>
      <c r="Z142" s="133">
        <v>0</v>
      </c>
      <c r="AA142" s="133">
        <v>5</v>
      </c>
      <c r="AB142" s="134">
        <v>1</v>
      </c>
    </row>
    <row r="143" spans="1:28">
      <c r="A143" s="120">
        <v>6</v>
      </c>
      <c r="B143" s="120" t="s">
        <v>221</v>
      </c>
      <c r="C143" s="120">
        <v>12</v>
      </c>
      <c r="D143" s="120">
        <v>0</v>
      </c>
      <c r="E143" s="132">
        <v>2</v>
      </c>
      <c r="F143" s="133">
        <v>1</v>
      </c>
      <c r="G143" s="133">
        <v>1</v>
      </c>
      <c r="H143" s="133">
        <v>0</v>
      </c>
      <c r="I143" s="133">
        <v>1</v>
      </c>
      <c r="J143" s="133">
        <v>1</v>
      </c>
      <c r="K143" s="133">
        <v>0</v>
      </c>
      <c r="L143" s="133">
        <v>0</v>
      </c>
      <c r="M143" s="133" t="s">
        <v>86</v>
      </c>
      <c r="N143" s="133">
        <v>1</v>
      </c>
      <c r="O143" s="129">
        <v>1</v>
      </c>
      <c r="P143" s="133">
        <v>0</v>
      </c>
      <c r="Q143" s="133">
        <v>20</v>
      </c>
      <c r="R143" s="133">
        <v>0</v>
      </c>
      <c r="S143" s="133">
        <v>2</v>
      </c>
      <c r="T143" s="133">
        <v>0</v>
      </c>
      <c r="U143" s="133">
        <v>2</v>
      </c>
      <c r="V143" s="133">
        <v>0</v>
      </c>
      <c r="W143" s="133">
        <v>20</v>
      </c>
      <c r="X143" s="133">
        <v>0</v>
      </c>
      <c r="Y143" s="133">
        <v>20</v>
      </c>
      <c r="Z143" s="133">
        <v>0</v>
      </c>
      <c r="AA143" s="133">
        <v>20</v>
      </c>
      <c r="AB143" s="134">
        <v>1</v>
      </c>
    </row>
    <row r="144" spans="1:28">
      <c r="D144" s="129"/>
      <c r="E144" s="129"/>
      <c r="F144" s="129"/>
      <c r="G144" s="130"/>
    </row>
    <row r="145" spans="1:25">
      <c r="D145" s="134"/>
      <c r="E145" s="134"/>
      <c r="F145" s="134"/>
      <c r="G145" s="133"/>
    </row>
    <row r="146" spans="1:25">
      <c r="A146" s="120" t="s">
        <v>249</v>
      </c>
      <c r="C146" s="185"/>
      <c r="D146" s="187">
        <v>6</v>
      </c>
      <c r="E146" s="187">
        <v>7</v>
      </c>
      <c r="F146" s="187">
        <v>8</v>
      </c>
      <c r="G146" s="187">
        <v>9</v>
      </c>
      <c r="H146" s="187">
        <v>10</v>
      </c>
      <c r="I146" s="187">
        <v>11</v>
      </c>
      <c r="J146" s="187">
        <v>12</v>
      </c>
      <c r="K146" s="187">
        <v>13</v>
      </c>
      <c r="L146" s="187">
        <v>14</v>
      </c>
      <c r="M146" s="187">
        <v>15</v>
      </c>
      <c r="N146" s="187">
        <v>16</v>
      </c>
      <c r="O146" s="187">
        <v>17</v>
      </c>
      <c r="P146" s="187">
        <v>18</v>
      </c>
      <c r="Q146" s="187">
        <v>19</v>
      </c>
      <c r="R146" s="187">
        <v>20</v>
      </c>
      <c r="S146" s="187">
        <v>21</v>
      </c>
      <c r="T146" s="187">
        <v>22</v>
      </c>
      <c r="U146" s="185"/>
      <c r="V146" s="185"/>
      <c r="W146" s="185"/>
      <c r="X146" s="185"/>
      <c r="Y146" s="185"/>
    </row>
    <row r="147" spans="1:25">
      <c r="B147" s="120" t="s">
        <v>39</v>
      </c>
      <c r="D147" s="134" t="s">
        <v>250</v>
      </c>
      <c r="E147" s="134" t="s">
        <v>250</v>
      </c>
      <c r="F147" s="134" t="s">
        <v>251</v>
      </c>
      <c r="G147" s="134" t="s">
        <v>251</v>
      </c>
      <c r="H147" s="120" t="s">
        <v>298</v>
      </c>
      <c r="I147" s="120" t="s">
        <v>298</v>
      </c>
      <c r="J147" s="120" t="s">
        <v>537</v>
      </c>
      <c r="K147" s="120" t="s">
        <v>537</v>
      </c>
      <c r="L147" s="120" t="s">
        <v>278</v>
      </c>
      <c r="M147" s="120" t="s">
        <v>278</v>
      </c>
      <c r="N147" s="120" t="s">
        <v>305</v>
      </c>
      <c r="O147" s="120" t="s">
        <v>305</v>
      </c>
      <c r="P147" s="120" t="s">
        <v>305</v>
      </c>
      <c r="Q147" s="120" t="s">
        <v>305</v>
      </c>
      <c r="R147" s="120" t="s">
        <v>305</v>
      </c>
      <c r="S147" s="120" t="s">
        <v>305</v>
      </c>
      <c r="T147" s="120" t="s">
        <v>305</v>
      </c>
    </row>
    <row r="148" spans="1:25">
      <c r="B148" s="120" t="s">
        <v>40</v>
      </c>
      <c r="D148" s="134" t="s">
        <v>541</v>
      </c>
      <c r="E148" s="134" t="s">
        <v>299</v>
      </c>
      <c r="F148" s="134" t="s">
        <v>299</v>
      </c>
      <c r="G148" s="133" t="s">
        <v>596</v>
      </c>
      <c r="H148" s="133" t="s">
        <v>596</v>
      </c>
      <c r="I148" s="134" t="s">
        <v>853</v>
      </c>
      <c r="J148" s="134" t="s">
        <v>853</v>
      </c>
      <c r="K148" s="120" t="s">
        <v>680</v>
      </c>
      <c r="L148" s="120" t="s">
        <v>680</v>
      </c>
      <c r="M148" s="120" t="s">
        <v>152</v>
      </c>
      <c r="N148" s="120" t="s">
        <v>152</v>
      </c>
      <c r="O148" s="120" t="s">
        <v>709</v>
      </c>
      <c r="P148" s="120" t="s">
        <v>709</v>
      </c>
      <c r="Q148" s="120" t="s">
        <v>709</v>
      </c>
      <c r="R148" s="120" t="s">
        <v>709</v>
      </c>
      <c r="S148" s="120" t="s">
        <v>709</v>
      </c>
      <c r="T148" s="120" t="s">
        <v>709</v>
      </c>
    </row>
    <row r="149" spans="1:25">
      <c r="B149" s="120" t="s">
        <v>1034</v>
      </c>
      <c r="D149" s="134" t="s">
        <v>541</v>
      </c>
      <c r="E149" s="134" t="s">
        <v>541</v>
      </c>
      <c r="F149" s="134" t="s">
        <v>450</v>
      </c>
      <c r="G149" s="134" t="s">
        <v>450</v>
      </c>
      <c r="H149" s="120" t="s">
        <v>685</v>
      </c>
      <c r="I149" s="120" t="s">
        <v>685</v>
      </c>
      <c r="J149" s="120" t="s">
        <v>518</v>
      </c>
      <c r="K149" s="120" t="s">
        <v>518</v>
      </c>
      <c r="L149" s="120" t="s">
        <v>385</v>
      </c>
      <c r="M149" s="120" t="s">
        <v>385</v>
      </c>
      <c r="N149" s="120" t="s">
        <v>385</v>
      </c>
      <c r="O149" s="120" t="s">
        <v>385</v>
      </c>
      <c r="P149" s="120" t="s">
        <v>385</v>
      </c>
      <c r="Q149" s="120" t="s">
        <v>385</v>
      </c>
      <c r="R149" s="120" t="s">
        <v>385</v>
      </c>
      <c r="S149" s="120" t="s">
        <v>385</v>
      </c>
      <c r="T149" s="120" t="s">
        <v>385</v>
      </c>
    </row>
    <row r="150" spans="1:25">
      <c r="B150" s="120" t="s">
        <v>387</v>
      </c>
      <c r="D150" s="134" t="s">
        <v>541</v>
      </c>
      <c r="E150" s="134" t="s">
        <v>541</v>
      </c>
      <c r="F150" s="134" t="s">
        <v>386</v>
      </c>
      <c r="G150" s="134" t="s">
        <v>386</v>
      </c>
      <c r="H150" s="134" t="s">
        <v>386</v>
      </c>
      <c r="I150" s="134" t="s">
        <v>386</v>
      </c>
      <c r="J150" s="134" t="s">
        <v>386</v>
      </c>
      <c r="K150" s="134" t="s">
        <v>386</v>
      </c>
      <c r="L150" s="134" t="s">
        <v>386</v>
      </c>
      <c r="M150" s="134" t="s">
        <v>386</v>
      </c>
      <c r="N150" s="134" t="s">
        <v>386</v>
      </c>
      <c r="O150" s="134" t="s">
        <v>386</v>
      </c>
      <c r="P150" s="134" t="s">
        <v>386</v>
      </c>
      <c r="Q150" s="134" t="s">
        <v>386</v>
      </c>
      <c r="R150" s="134" t="s">
        <v>386</v>
      </c>
      <c r="S150" s="134" t="s">
        <v>386</v>
      </c>
      <c r="T150" s="134" t="s">
        <v>386</v>
      </c>
    </row>
    <row r="151" spans="1:25">
      <c r="B151" s="120" t="s">
        <v>341</v>
      </c>
      <c r="D151" s="134" t="s">
        <v>541</v>
      </c>
      <c r="E151" s="134" t="s">
        <v>541</v>
      </c>
      <c r="F151" s="134" t="s">
        <v>676</v>
      </c>
      <c r="G151" s="134" t="s">
        <v>676</v>
      </c>
      <c r="H151" s="120" t="s">
        <v>487</v>
      </c>
      <c r="I151" s="120" t="s">
        <v>487</v>
      </c>
      <c r="J151" s="120" t="s">
        <v>636</v>
      </c>
      <c r="K151" s="120" t="s">
        <v>636</v>
      </c>
      <c r="L151" s="120" t="s">
        <v>636</v>
      </c>
      <c r="M151" s="120" t="s">
        <v>636</v>
      </c>
      <c r="N151" s="120" t="s">
        <v>636</v>
      </c>
      <c r="O151" s="120" t="s">
        <v>991</v>
      </c>
      <c r="P151" s="120" t="s">
        <v>991</v>
      </c>
      <c r="Q151" s="120" t="s">
        <v>991</v>
      </c>
      <c r="R151" s="120" t="s">
        <v>991</v>
      </c>
      <c r="S151" s="120" t="s">
        <v>991</v>
      </c>
      <c r="T151" s="120" t="s">
        <v>991</v>
      </c>
    </row>
    <row r="152" spans="1:25">
      <c r="B152" s="120" t="s">
        <v>221</v>
      </c>
      <c r="D152" s="134" t="s">
        <v>541</v>
      </c>
      <c r="E152" s="134" t="s">
        <v>541</v>
      </c>
      <c r="F152" s="134" t="s">
        <v>541</v>
      </c>
      <c r="G152" s="134" t="s">
        <v>541</v>
      </c>
      <c r="H152" s="134" t="s">
        <v>541</v>
      </c>
      <c r="I152" s="134" t="s">
        <v>541</v>
      </c>
      <c r="J152" s="120" t="s">
        <v>332</v>
      </c>
      <c r="K152" s="120" t="s">
        <v>332</v>
      </c>
      <c r="L152" s="120" t="s">
        <v>910</v>
      </c>
      <c r="M152" s="120" t="s">
        <v>910</v>
      </c>
      <c r="N152" s="120" t="s">
        <v>298</v>
      </c>
      <c r="O152" s="120" t="s">
        <v>298</v>
      </c>
      <c r="P152" s="120" t="s">
        <v>333</v>
      </c>
      <c r="Q152" s="120" t="s">
        <v>333</v>
      </c>
      <c r="R152" s="120" t="s">
        <v>683</v>
      </c>
      <c r="S152" s="120" t="s">
        <v>683</v>
      </c>
      <c r="T152" s="120" t="s">
        <v>230</v>
      </c>
    </row>
    <row r="153" spans="1:25">
      <c r="D153" s="134"/>
      <c r="E153" s="134"/>
      <c r="F153" s="134"/>
      <c r="G153" s="133"/>
    </row>
    <row r="155" spans="1:25">
      <c r="A155" s="120" t="s">
        <v>813</v>
      </c>
      <c r="C155" s="128" t="s">
        <v>814</v>
      </c>
      <c r="D155" s="128" t="s">
        <v>566</v>
      </c>
      <c r="E155" s="128" t="s">
        <v>224</v>
      </c>
    </row>
    <row r="156" spans="1:25">
      <c r="A156" s="120">
        <v>0</v>
      </c>
      <c r="B156" s="120" t="str">
        <f>" "</f>
        <v xml:space="preserve"> </v>
      </c>
      <c r="C156" s="133">
        <v>0</v>
      </c>
      <c r="D156" s="133">
        <v>0</v>
      </c>
      <c r="E156" s="133">
        <v>0</v>
      </c>
    </row>
    <row r="157" spans="1:25">
      <c r="A157" s="120">
        <v>1</v>
      </c>
      <c r="B157" s="120" t="s">
        <v>157</v>
      </c>
      <c r="C157" s="133">
        <v>0</v>
      </c>
      <c r="D157" s="133">
        <v>100</v>
      </c>
      <c r="E157" s="133">
        <v>0</v>
      </c>
    </row>
    <row r="158" spans="1:25">
      <c r="A158" s="120">
        <v>2</v>
      </c>
      <c r="B158" s="120" t="s">
        <v>1122</v>
      </c>
      <c r="C158" s="133">
        <v>0</v>
      </c>
      <c r="D158" s="133">
        <v>100</v>
      </c>
      <c r="E158" s="133">
        <v>0</v>
      </c>
    </row>
    <row r="159" spans="1:25">
      <c r="A159" s="120">
        <v>3</v>
      </c>
      <c r="B159" s="120" t="s">
        <v>224</v>
      </c>
      <c r="C159" s="133">
        <v>0</v>
      </c>
      <c r="D159" s="133">
        <v>0</v>
      </c>
      <c r="E159" s="133">
        <v>100</v>
      </c>
    </row>
    <row r="162" spans="1:8">
      <c r="A162" s="120" t="s">
        <v>968</v>
      </c>
      <c r="C162" s="128" t="s">
        <v>648</v>
      </c>
      <c r="D162" s="128" t="s">
        <v>660</v>
      </c>
      <c r="E162" s="128" t="s">
        <v>1127</v>
      </c>
      <c r="F162" s="128" t="s">
        <v>410</v>
      </c>
      <c r="G162" s="128" t="s">
        <v>53</v>
      </c>
      <c r="H162" s="128" t="s">
        <v>54</v>
      </c>
    </row>
    <row r="163" spans="1:8">
      <c r="A163" s="120">
        <v>0</v>
      </c>
      <c r="B163" s="120" t="str">
        <f>" "</f>
        <v xml:space="preserve"> </v>
      </c>
      <c r="C163" s="120">
        <v>0</v>
      </c>
      <c r="D163" s="120">
        <v>0</v>
      </c>
      <c r="E163" s="120">
        <v>0</v>
      </c>
      <c r="F163" s="120">
        <v>0</v>
      </c>
      <c r="G163" s="120">
        <v>0</v>
      </c>
      <c r="H163" s="120">
        <v>0</v>
      </c>
    </row>
    <row r="164" spans="1:8">
      <c r="A164" s="120">
        <v>1</v>
      </c>
      <c r="B164" s="120" t="s">
        <v>920</v>
      </c>
      <c r="C164" s="120">
        <v>10</v>
      </c>
      <c r="D164" s="120">
        <v>0</v>
      </c>
      <c r="E164" s="120">
        <v>1</v>
      </c>
      <c r="F164" s="120">
        <v>0</v>
      </c>
      <c r="G164" s="120">
        <v>100</v>
      </c>
      <c r="H164" s="120">
        <v>10</v>
      </c>
    </row>
    <row r="165" spans="1:8">
      <c r="A165" s="120">
        <v>2</v>
      </c>
      <c r="B165" s="120" t="s">
        <v>921</v>
      </c>
      <c r="C165" s="120">
        <v>1</v>
      </c>
      <c r="D165" s="120">
        <v>10</v>
      </c>
      <c r="E165" s="120">
        <v>1</v>
      </c>
      <c r="F165" s="120">
        <v>0</v>
      </c>
      <c r="G165" s="120">
        <v>100</v>
      </c>
      <c r="H165" s="120">
        <v>10</v>
      </c>
    </row>
    <row r="166" spans="1:8">
      <c r="A166" s="120">
        <v>3</v>
      </c>
      <c r="B166" s="120" t="s">
        <v>204</v>
      </c>
      <c r="C166" s="120">
        <v>1</v>
      </c>
      <c r="D166" s="120">
        <v>0</v>
      </c>
      <c r="E166" s="120">
        <v>10</v>
      </c>
      <c r="F166" s="120">
        <v>0</v>
      </c>
      <c r="G166" s="120">
        <v>100</v>
      </c>
      <c r="H166" s="120">
        <v>10</v>
      </c>
    </row>
    <row r="167" spans="1:8">
      <c r="A167" s="120">
        <v>3</v>
      </c>
      <c r="B167" s="120" t="s">
        <v>380</v>
      </c>
      <c r="C167" s="120">
        <v>1</v>
      </c>
      <c r="D167" s="120">
        <v>0</v>
      </c>
      <c r="E167" s="120">
        <v>1</v>
      </c>
      <c r="F167" s="120">
        <v>100</v>
      </c>
      <c r="G167" s="120">
        <v>100</v>
      </c>
      <c r="H167" s="120">
        <v>10</v>
      </c>
    </row>
    <row r="170" spans="1:8">
      <c r="A170" s="120" t="s">
        <v>755</v>
      </c>
      <c r="C170" s="128" t="s">
        <v>270</v>
      </c>
      <c r="D170" s="128" t="s">
        <v>729</v>
      </c>
      <c r="E170" s="128" t="s">
        <v>1064</v>
      </c>
    </row>
    <row r="171" spans="1:8">
      <c r="A171" s="120" t="str">
        <f>" "</f>
        <v xml:space="preserve"> </v>
      </c>
      <c r="B171" s="120" t="str">
        <f>" "</f>
        <v xml:space="preserve"> </v>
      </c>
      <c r="C171" s="128">
        <v>0</v>
      </c>
      <c r="D171" s="128">
        <v>0</v>
      </c>
      <c r="E171" s="128">
        <v>0</v>
      </c>
    </row>
    <row r="172" spans="1:8">
      <c r="A172" s="120" t="s">
        <v>1056</v>
      </c>
      <c r="B172" s="120" t="s">
        <v>656</v>
      </c>
      <c r="C172" s="120">
        <v>5</v>
      </c>
      <c r="D172" s="120">
        <v>1</v>
      </c>
      <c r="E172" s="120">
        <v>1</v>
      </c>
    </row>
    <row r="173" spans="1:8">
      <c r="A173" s="120" t="s">
        <v>907</v>
      </c>
      <c r="B173" s="120" t="s">
        <v>656</v>
      </c>
      <c r="C173" s="120">
        <v>6</v>
      </c>
      <c r="D173" s="120">
        <v>2</v>
      </c>
      <c r="E173" s="120">
        <v>2</v>
      </c>
    </row>
    <row r="174" spans="1:8">
      <c r="A174" s="120" t="s">
        <v>722</v>
      </c>
      <c r="B174" s="120" t="s">
        <v>923</v>
      </c>
      <c r="C174" s="120">
        <v>5</v>
      </c>
      <c r="D174" s="120">
        <f xml:space="preserve"> -2 * 0</f>
        <v>0</v>
      </c>
      <c r="E174" s="120">
        <v>0.5</v>
      </c>
    </row>
    <row r="175" spans="1:8">
      <c r="A175" s="120" t="s">
        <v>1004</v>
      </c>
      <c r="B175" s="120" t="s">
        <v>923</v>
      </c>
      <c r="C175" s="120">
        <v>8</v>
      </c>
      <c r="D175" s="120">
        <v>0</v>
      </c>
      <c r="E175" s="120">
        <v>0.5</v>
      </c>
    </row>
    <row r="176" spans="1:8">
      <c r="A176" s="120" t="s">
        <v>130</v>
      </c>
      <c r="B176" s="120" t="s">
        <v>739</v>
      </c>
      <c r="C176" s="120">
        <v>7</v>
      </c>
      <c r="D176" s="120">
        <f xml:space="preserve"> -5 * 0</f>
        <v>0</v>
      </c>
      <c r="E176" s="120">
        <v>1</v>
      </c>
    </row>
    <row r="177" spans="1:19">
      <c r="A177" s="120" t="s">
        <v>427</v>
      </c>
      <c r="B177" s="120" t="s">
        <v>739</v>
      </c>
      <c r="C177" s="120">
        <v>9</v>
      </c>
      <c r="D177" s="120">
        <v>1</v>
      </c>
      <c r="E177" s="120">
        <v>2</v>
      </c>
    </row>
    <row r="178" spans="1:19">
      <c r="A178" s="120" t="s">
        <v>358</v>
      </c>
      <c r="B178" s="120" t="s">
        <v>563</v>
      </c>
      <c r="C178" s="120">
        <v>7</v>
      </c>
      <c r="D178" s="120">
        <v>0</v>
      </c>
      <c r="E178" s="120">
        <v>0</v>
      </c>
    </row>
    <row r="179" spans="1:19">
      <c r="A179" s="120" t="s">
        <v>564</v>
      </c>
      <c r="B179" s="120" t="s">
        <v>565</v>
      </c>
      <c r="C179" s="120">
        <v>8</v>
      </c>
      <c r="D179" s="120">
        <v>1</v>
      </c>
      <c r="E179" s="120">
        <v>1</v>
      </c>
    </row>
    <row r="180" spans="1:19">
      <c r="A180" s="120" t="s">
        <v>572</v>
      </c>
      <c r="B180" s="120" t="s">
        <v>565</v>
      </c>
      <c r="C180" s="120">
        <v>5</v>
      </c>
      <c r="D180" s="120">
        <v>3</v>
      </c>
      <c r="E180" s="120">
        <v>1.5</v>
      </c>
    </row>
    <row r="183" spans="1:19">
      <c r="A183" s="120" t="s">
        <v>749</v>
      </c>
      <c r="D183" s="128" t="s">
        <v>270</v>
      </c>
      <c r="E183" s="128" t="s">
        <v>729</v>
      </c>
      <c r="F183" s="128" t="s">
        <v>1064</v>
      </c>
      <c r="G183" s="128" t="s">
        <v>446</v>
      </c>
      <c r="H183" s="128" t="s">
        <v>916</v>
      </c>
      <c r="I183" s="128" t="s">
        <v>642</v>
      </c>
      <c r="J183" s="128" t="s">
        <v>50</v>
      </c>
      <c r="K183" s="128" t="s">
        <v>50</v>
      </c>
      <c r="L183" s="128" t="s">
        <v>697</v>
      </c>
      <c r="M183" s="128" t="s">
        <v>16</v>
      </c>
      <c r="N183" s="128" t="s">
        <v>17</v>
      </c>
      <c r="O183" s="128" t="s">
        <v>472</v>
      </c>
      <c r="P183" s="128" t="s">
        <v>655</v>
      </c>
      <c r="Q183" s="128" t="s">
        <v>18</v>
      </c>
      <c r="R183" s="128" t="s">
        <v>820</v>
      </c>
      <c r="S183" s="128" t="s">
        <v>821</v>
      </c>
    </row>
    <row r="184" spans="1:19">
      <c r="A184" s="120">
        <v>-99</v>
      </c>
      <c r="B184" s="120" t="s">
        <v>698</v>
      </c>
      <c r="C184" s="120" t="s">
        <v>771</v>
      </c>
      <c r="D184" s="120">
        <v>-3</v>
      </c>
      <c r="E184" s="132">
        <v>3</v>
      </c>
      <c r="F184" s="132">
        <v>9</v>
      </c>
      <c r="G184" s="132">
        <v>0.5</v>
      </c>
      <c r="H184" s="132">
        <v>2</v>
      </c>
      <c r="I184" s="97">
        <v>-3</v>
      </c>
      <c r="J184" s="97">
        <v>0</v>
      </c>
      <c r="K184" s="132">
        <v>0.5</v>
      </c>
      <c r="L184" s="132">
        <v>3</v>
      </c>
      <c r="M184" s="97"/>
      <c r="N184" s="97">
        <v>-2</v>
      </c>
      <c r="O184" s="97">
        <v>-3</v>
      </c>
      <c r="P184" s="97">
        <v>3</v>
      </c>
      <c r="Q184" s="97">
        <v>-3</v>
      </c>
      <c r="R184" s="132">
        <v>3</v>
      </c>
      <c r="S184" s="132">
        <v>9</v>
      </c>
    </row>
    <row r="185" spans="1:19">
      <c r="A185" s="120">
        <v>-2</v>
      </c>
      <c r="B185" s="120" t="s">
        <v>243</v>
      </c>
      <c r="C185" s="120" t="s">
        <v>244</v>
      </c>
      <c r="D185" s="120">
        <v>-2</v>
      </c>
      <c r="E185" s="132">
        <v>2</v>
      </c>
      <c r="F185" s="132">
        <v>4</v>
      </c>
      <c r="G185" s="132">
        <v>0.8</v>
      </c>
      <c r="H185" s="132">
        <v>1.2</v>
      </c>
      <c r="I185" s="97">
        <v>-2</v>
      </c>
      <c r="J185" s="97">
        <v>-4</v>
      </c>
      <c r="K185" s="132">
        <v>1</v>
      </c>
      <c r="L185" s="132">
        <v>2</v>
      </c>
      <c r="M185" s="97"/>
      <c r="N185" s="97">
        <v>-2</v>
      </c>
      <c r="O185" s="97">
        <v>-2</v>
      </c>
      <c r="P185" s="97">
        <v>2</v>
      </c>
      <c r="Q185" s="97">
        <v>-2</v>
      </c>
      <c r="R185" s="132">
        <v>2</v>
      </c>
      <c r="S185" s="132">
        <v>4</v>
      </c>
    </row>
    <row r="186" spans="1:19">
      <c r="A186" s="120">
        <v>-1</v>
      </c>
      <c r="B186" s="120" t="s">
        <v>115</v>
      </c>
      <c r="C186" s="120" t="s">
        <v>271</v>
      </c>
      <c r="D186" s="120">
        <v>-1</v>
      </c>
      <c r="E186" s="132">
        <v>1</v>
      </c>
      <c r="F186" s="132">
        <v>2</v>
      </c>
      <c r="G186" s="132">
        <v>0.9</v>
      </c>
      <c r="H186" s="132">
        <v>1.1000000000000001</v>
      </c>
      <c r="I186" s="97">
        <v>-1</v>
      </c>
      <c r="J186" s="97">
        <v>-3</v>
      </c>
      <c r="K186" s="132">
        <v>1</v>
      </c>
      <c r="L186" s="132">
        <v>2</v>
      </c>
      <c r="M186" s="97"/>
      <c r="N186" s="97"/>
      <c r="O186" s="97">
        <v>-1</v>
      </c>
      <c r="P186" s="97">
        <v>1</v>
      </c>
      <c r="Q186" s="97">
        <v>-1</v>
      </c>
      <c r="R186" s="132">
        <v>1</v>
      </c>
      <c r="S186" s="132">
        <v>2</v>
      </c>
    </row>
    <row r="187" spans="1:19">
      <c r="A187" s="120">
        <v>-0.99</v>
      </c>
      <c r="B187" s="120" t="s">
        <v>623</v>
      </c>
      <c r="C187" s="120" t="s">
        <v>46</v>
      </c>
      <c r="D187" s="120">
        <v>0</v>
      </c>
      <c r="E187" s="132">
        <v>1</v>
      </c>
      <c r="F187" s="132">
        <v>0.5</v>
      </c>
      <c r="G187" s="132">
        <v>0.9</v>
      </c>
      <c r="H187" s="132">
        <v>1.1000000000000001</v>
      </c>
      <c r="I187" s="97">
        <v>0</v>
      </c>
      <c r="J187" s="97">
        <v>-1</v>
      </c>
      <c r="K187" s="132">
        <v>1</v>
      </c>
      <c r="L187" s="132">
        <v>1</v>
      </c>
      <c r="M187" s="97"/>
      <c r="N187" s="97"/>
      <c r="O187" s="97">
        <v>-1</v>
      </c>
      <c r="P187" s="97">
        <v>1</v>
      </c>
      <c r="Q187" s="97">
        <v>0</v>
      </c>
      <c r="R187" s="132">
        <v>1</v>
      </c>
      <c r="S187" s="132">
        <v>0.5</v>
      </c>
    </row>
    <row r="188" spans="1:19">
      <c r="A188" s="120">
        <v>0</v>
      </c>
      <c r="B188" s="120" t="s">
        <v>972</v>
      </c>
      <c r="C188" s="120" t="s">
        <v>650</v>
      </c>
      <c r="D188" s="120">
        <v>0</v>
      </c>
      <c r="E188" s="132">
        <v>1</v>
      </c>
      <c r="F188" s="132">
        <v>1</v>
      </c>
      <c r="G188" s="132">
        <v>1</v>
      </c>
      <c r="H188" s="132">
        <v>1</v>
      </c>
      <c r="I188" s="97">
        <v>0</v>
      </c>
      <c r="J188" s="97">
        <v>0</v>
      </c>
      <c r="K188" s="132">
        <v>1</v>
      </c>
      <c r="L188" s="132">
        <v>1</v>
      </c>
      <c r="M188" s="97"/>
      <c r="N188" s="97"/>
      <c r="O188" s="97">
        <v>0</v>
      </c>
      <c r="P188" s="97">
        <v>0</v>
      </c>
      <c r="Q188" s="97">
        <v>0</v>
      </c>
      <c r="R188" s="132">
        <v>1</v>
      </c>
      <c r="S188" s="132">
        <v>1</v>
      </c>
    </row>
    <row r="189" spans="1:19">
      <c r="A189" s="120">
        <v>0.01</v>
      </c>
      <c r="B189" s="120" t="s">
        <v>327</v>
      </c>
      <c r="C189" s="120" t="s">
        <v>540</v>
      </c>
      <c r="D189" s="120">
        <v>1</v>
      </c>
      <c r="E189" s="132">
        <v>1</v>
      </c>
      <c r="F189" s="132">
        <v>0.5</v>
      </c>
      <c r="G189" s="132">
        <v>0.9</v>
      </c>
      <c r="H189" s="132">
        <v>1.1000000000000001</v>
      </c>
      <c r="I189" s="97">
        <v>0</v>
      </c>
      <c r="J189" s="97">
        <v>-2</v>
      </c>
      <c r="K189" s="132">
        <v>1</v>
      </c>
      <c r="L189" s="132">
        <v>0.5</v>
      </c>
      <c r="M189" s="97">
        <v>5</v>
      </c>
      <c r="N189" s="97"/>
      <c r="O189" s="97">
        <v>0</v>
      </c>
      <c r="P189" s="97">
        <v>0</v>
      </c>
      <c r="Q189" s="97">
        <v>0</v>
      </c>
      <c r="R189" s="132">
        <v>1</v>
      </c>
      <c r="S189" s="132">
        <v>0.5</v>
      </c>
    </row>
    <row r="190" spans="1:19">
      <c r="A190" s="120">
        <v>1</v>
      </c>
      <c r="B190" s="120" t="s">
        <v>65</v>
      </c>
      <c r="C190" s="120" t="s">
        <v>738</v>
      </c>
      <c r="D190" s="120">
        <v>1</v>
      </c>
      <c r="E190" s="132">
        <v>1</v>
      </c>
      <c r="F190" s="132">
        <v>1</v>
      </c>
      <c r="G190" s="132">
        <v>1.1000000000000001</v>
      </c>
      <c r="H190" s="132">
        <v>0.9</v>
      </c>
      <c r="I190" s="97">
        <v>1</v>
      </c>
      <c r="J190" s="97">
        <v>2</v>
      </c>
      <c r="K190" s="132">
        <v>1</v>
      </c>
      <c r="L190" s="132">
        <v>1</v>
      </c>
      <c r="M190" s="97"/>
      <c r="N190" s="97">
        <v>1</v>
      </c>
      <c r="O190" s="97">
        <v>1</v>
      </c>
      <c r="P190" s="97">
        <v>-1</v>
      </c>
      <c r="Q190" s="97">
        <v>1</v>
      </c>
      <c r="R190" s="132">
        <v>1</v>
      </c>
      <c r="S190" s="132">
        <v>1</v>
      </c>
    </row>
    <row r="191" spans="1:19">
      <c r="A191" s="120">
        <v>2</v>
      </c>
      <c r="B191" s="120" t="s">
        <v>443</v>
      </c>
      <c r="C191" s="120" t="s">
        <v>642</v>
      </c>
      <c r="D191" s="120">
        <v>2</v>
      </c>
      <c r="E191" s="132">
        <v>1</v>
      </c>
      <c r="F191" s="132">
        <v>0.5</v>
      </c>
      <c r="G191" s="132">
        <v>1.1000000000000001</v>
      </c>
      <c r="H191" s="132">
        <v>0.9</v>
      </c>
      <c r="I191" s="97">
        <v>2</v>
      </c>
      <c r="J191" s="97">
        <v>2</v>
      </c>
      <c r="K191" s="132">
        <v>1</v>
      </c>
      <c r="L191" s="132">
        <v>0.5</v>
      </c>
      <c r="M191" s="97"/>
      <c r="N191" s="97">
        <v>2</v>
      </c>
      <c r="O191" s="97">
        <v>2</v>
      </c>
      <c r="P191" s="97">
        <v>-2</v>
      </c>
      <c r="Q191" s="97">
        <v>2</v>
      </c>
      <c r="R191" s="132">
        <v>0.5</v>
      </c>
      <c r="S191" s="132">
        <v>1</v>
      </c>
    </row>
    <row r="192" spans="1:19">
      <c r="A192" s="120">
        <v>3</v>
      </c>
      <c r="B192" s="120" t="s">
        <v>494</v>
      </c>
      <c r="C192" s="120" t="s">
        <v>311</v>
      </c>
      <c r="D192" s="120">
        <v>3</v>
      </c>
      <c r="E192" s="132">
        <v>0.33333000000000002</v>
      </c>
      <c r="F192" s="132">
        <v>2</v>
      </c>
      <c r="G192" s="132">
        <v>1.2</v>
      </c>
      <c r="H192" s="132">
        <v>0.8</v>
      </c>
      <c r="I192" s="97">
        <v>3</v>
      </c>
      <c r="J192" s="97">
        <v>3</v>
      </c>
      <c r="K192" s="132">
        <v>1</v>
      </c>
      <c r="L192" s="132">
        <v>0.5</v>
      </c>
      <c r="M192" s="97"/>
      <c r="N192" s="97">
        <v>3</v>
      </c>
      <c r="O192" s="97">
        <v>3</v>
      </c>
      <c r="P192" s="97">
        <v>-3</v>
      </c>
      <c r="Q192" s="97">
        <v>3</v>
      </c>
      <c r="R192" s="132">
        <v>0.33333000000000002</v>
      </c>
      <c r="S192" s="132">
        <v>2</v>
      </c>
    </row>
    <row r="193" spans="1:30">
      <c r="A193" s="120">
        <v>4</v>
      </c>
      <c r="B193" s="120" t="s">
        <v>312</v>
      </c>
      <c r="C193" s="120" t="s">
        <v>915</v>
      </c>
      <c r="D193" s="120">
        <v>4</v>
      </c>
      <c r="E193" s="132">
        <v>0.25</v>
      </c>
      <c r="F193" s="132">
        <v>3</v>
      </c>
      <c r="G193" s="132">
        <v>1.3</v>
      </c>
      <c r="H193" s="132">
        <v>0.7</v>
      </c>
      <c r="I193" s="97">
        <v>4</v>
      </c>
      <c r="J193" s="97">
        <v>4</v>
      </c>
      <c r="K193" s="132">
        <v>1</v>
      </c>
      <c r="L193" s="132">
        <v>0.33333299999999999</v>
      </c>
      <c r="M193" s="97"/>
      <c r="N193" s="97">
        <v>4</v>
      </c>
      <c r="O193" s="97">
        <v>4</v>
      </c>
      <c r="P193" s="97">
        <v>-4</v>
      </c>
      <c r="Q193" s="97">
        <v>4</v>
      </c>
      <c r="R193" s="132">
        <v>0.25</v>
      </c>
      <c r="S193" s="132">
        <v>3</v>
      </c>
    </row>
    <row r="196" spans="1:30">
      <c r="A196" s="94" t="s">
        <v>796</v>
      </c>
      <c r="B196" s="1" t="s">
        <v>886</v>
      </c>
      <c r="C196" s="1" t="s">
        <v>801</v>
      </c>
      <c r="D196" s="1" t="s">
        <v>225</v>
      </c>
      <c r="E196" t="str">
        <f>"x + B"</f>
        <v>x + B</v>
      </c>
      <c r="F196" s="1" t="s">
        <v>399</v>
      </c>
      <c r="G196" s="1" t="s">
        <v>274</v>
      </c>
      <c r="H196" s="1" t="s">
        <v>506</v>
      </c>
      <c r="I196" s="1" t="s">
        <v>770</v>
      </c>
      <c r="J196" s="1" t="s">
        <v>760</v>
      </c>
      <c r="K196" s="1" t="s">
        <v>792</v>
      </c>
      <c r="L196" s="1" t="s">
        <v>76</v>
      </c>
      <c r="M196" s="1" t="s">
        <v>670</v>
      </c>
      <c r="N196" s="66" t="s">
        <v>263</v>
      </c>
      <c r="O196" s="66" t="s">
        <v>1099</v>
      </c>
      <c r="P196" s="1" t="s">
        <v>719</v>
      </c>
      <c r="Q196" s="1" t="s">
        <v>684</v>
      </c>
      <c r="R196" s="66" t="s">
        <v>394</v>
      </c>
      <c r="S196" s="262" t="s">
        <v>578</v>
      </c>
      <c r="T196" s="262"/>
      <c r="U196"/>
      <c r="V196"/>
      <c r="W196"/>
      <c r="X196"/>
      <c r="Y196"/>
      <c r="Z196"/>
      <c r="AA196"/>
      <c r="AB196"/>
      <c r="AC196"/>
      <c r="AD196"/>
    </row>
    <row r="197" spans="1:30">
      <c r="A197" t="s">
        <v>614</v>
      </c>
      <c r="B197" s="1" t="s">
        <v>579</v>
      </c>
      <c r="C197" s="1">
        <v>2400</v>
      </c>
      <c r="D197">
        <v>5</v>
      </c>
      <c r="E197">
        <v>5</v>
      </c>
      <c r="F197">
        <v>10</v>
      </c>
      <c r="G197">
        <v>1</v>
      </c>
      <c r="H197">
        <v>1</v>
      </c>
      <c r="I197">
        <v>0</v>
      </c>
      <c r="J197">
        <v>0</v>
      </c>
      <c r="K197" s="186">
        <v>0.1</v>
      </c>
      <c r="L197">
        <v>0</v>
      </c>
      <c r="M197">
        <v>0</v>
      </c>
      <c r="N197">
        <v>0</v>
      </c>
      <c r="O197">
        <v>1</v>
      </c>
      <c r="P197">
        <v>0</v>
      </c>
      <c r="Q197">
        <v>0</v>
      </c>
      <c r="R197">
        <v>0</v>
      </c>
      <c r="S197">
        <v>0</v>
      </c>
      <c r="T197"/>
      <c r="U197"/>
      <c r="V197"/>
      <c r="W197"/>
      <c r="X197"/>
      <c r="Y197"/>
      <c r="Z197"/>
      <c r="AA197"/>
      <c r="AB197"/>
      <c r="AC197"/>
      <c r="AD197"/>
    </row>
    <row r="198" spans="1:30">
      <c r="A198" t="s">
        <v>24</v>
      </c>
      <c r="B198" s="1" t="s">
        <v>25</v>
      </c>
      <c r="C198" s="1">
        <v>2400</v>
      </c>
      <c r="D198">
        <v>5</v>
      </c>
      <c r="E198">
        <v>10</v>
      </c>
      <c r="F198">
        <v>15</v>
      </c>
      <c r="G198">
        <v>2</v>
      </c>
      <c r="H198">
        <v>2</v>
      </c>
      <c r="I198">
        <v>0</v>
      </c>
      <c r="J198">
        <v>0</v>
      </c>
      <c r="K198" s="186">
        <v>0.1</v>
      </c>
      <c r="L198">
        <v>0</v>
      </c>
      <c r="M198">
        <v>0</v>
      </c>
      <c r="N198">
        <v>0</v>
      </c>
      <c r="O198">
        <v>1</v>
      </c>
      <c r="P198">
        <v>0</v>
      </c>
      <c r="Q198">
        <v>0</v>
      </c>
      <c r="R198">
        <v>0</v>
      </c>
      <c r="S198">
        <v>0</v>
      </c>
      <c r="T198"/>
      <c r="U198"/>
      <c r="V198"/>
      <c r="W198"/>
      <c r="X198"/>
      <c r="Y198"/>
      <c r="Z198"/>
      <c r="AA198"/>
      <c r="AB198"/>
      <c r="AC198"/>
      <c r="AD198"/>
    </row>
    <row r="199" spans="1:30">
      <c r="A199" t="s">
        <v>26</v>
      </c>
      <c r="B199" s="1" t="s">
        <v>232</v>
      </c>
      <c r="C199" s="1">
        <v>2400</v>
      </c>
      <c r="D199">
        <v>5</v>
      </c>
      <c r="E199">
        <v>15</v>
      </c>
      <c r="F199">
        <v>20</v>
      </c>
      <c r="G199">
        <v>3</v>
      </c>
      <c r="H199">
        <v>3</v>
      </c>
      <c r="I199">
        <v>0</v>
      </c>
      <c r="J199">
        <v>0</v>
      </c>
      <c r="K199" s="186">
        <v>0.1</v>
      </c>
      <c r="L199">
        <v>0</v>
      </c>
      <c r="M199">
        <v>0</v>
      </c>
      <c r="N199">
        <v>0</v>
      </c>
      <c r="O199">
        <v>1</v>
      </c>
      <c r="P199">
        <v>0</v>
      </c>
      <c r="Q199">
        <v>0</v>
      </c>
      <c r="R199">
        <v>0</v>
      </c>
      <c r="S199">
        <v>0</v>
      </c>
      <c r="T199"/>
      <c r="U199"/>
      <c r="V199"/>
      <c r="W199"/>
      <c r="X199"/>
      <c r="Y199"/>
      <c r="Z199"/>
      <c r="AA199"/>
      <c r="AB199"/>
      <c r="AC199"/>
      <c r="AD199"/>
    </row>
    <row r="200" spans="1:30">
      <c r="A200" t="s">
        <v>294</v>
      </c>
      <c r="B200" s="1" t="s">
        <v>602</v>
      </c>
      <c r="C200" s="1">
        <v>2400</v>
      </c>
      <c r="D200">
        <v>5</v>
      </c>
      <c r="E200">
        <v>20</v>
      </c>
      <c r="F200">
        <v>25</v>
      </c>
      <c r="G200">
        <v>4</v>
      </c>
      <c r="H200">
        <v>4</v>
      </c>
      <c r="I200">
        <v>0</v>
      </c>
      <c r="J200">
        <v>0</v>
      </c>
      <c r="K200" s="186">
        <v>0.1</v>
      </c>
      <c r="L200">
        <v>0</v>
      </c>
      <c r="M200">
        <v>0</v>
      </c>
      <c r="N200">
        <v>0</v>
      </c>
      <c r="O200">
        <v>1</v>
      </c>
      <c r="P200">
        <v>0</v>
      </c>
      <c r="Q200">
        <v>0</v>
      </c>
      <c r="R200">
        <v>0</v>
      </c>
      <c r="S200">
        <v>0</v>
      </c>
      <c r="T200"/>
      <c r="U200"/>
      <c r="V200"/>
      <c r="W200"/>
      <c r="X200"/>
      <c r="Y200"/>
      <c r="Z200"/>
      <c r="AA200"/>
      <c r="AB200"/>
      <c r="AC200"/>
      <c r="AD200"/>
    </row>
    <row r="201" spans="1:30">
      <c r="A201" t="s">
        <v>233</v>
      </c>
      <c r="B201" s="1" t="s">
        <v>234</v>
      </c>
      <c r="C201" s="1">
        <v>2400</v>
      </c>
      <c r="D201">
        <v>2</v>
      </c>
      <c r="E201">
        <v>0</v>
      </c>
      <c r="F201">
        <v>2</v>
      </c>
      <c r="G201">
        <v>1</v>
      </c>
      <c r="H201">
        <v>5</v>
      </c>
      <c r="I201">
        <v>0</v>
      </c>
      <c r="J201">
        <v>0</v>
      </c>
      <c r="K201" s="186">
        <v>0</v>
      </c>
      <c r="L201">
        <v>1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/>
      <c r="U201"/>
      <c r="V201"/>
      <c r="W201"/>
      <c r="X201"/>
      <c r="Y201"/>
      <c r="Z201"/>
      <c r="AA201"/>
      <c r="AB201"/>
      <c r="AC201"/>
      <c r="AD201"/>
    </row>
    <row r="202" spans="1:30">
      <c r="A202" t="s">
        <v>546</v>
      </c>
      <c r="B202" s="1" t="s">
        <v>235</v>
      </c>
      <c r="C202" s="1">
        <v>100</v>
      </c>
      <c r="D202">
        <v>2</v>
      </c>
      <c r="E202">
        <v>-1</v>
      </c>
      <c r="F202">
        <v>2</v>
      </c>
      <c r="G202">
        <v>2</v>
      </c>
      <c r="H202">
        <v>6</v>
      </c>
      <c r="I202">
        <v>0</v>
      </c>
      <c r="J202">
        <v>0</v>
      </c>
      <c r="K202" s="186">
        <v>0</v>
      </c>
      <c r="L202">
        <v>0</v>
      </c>
      <c r="M202">
        <v>1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/>
      <c r="U202"/>
      <c r="V202"/>
      <c r="W202"/>
      <c r="X202"/>
      <c r="Y202"/>
      <c r="Z202"/>
      <c r="AA202"/>
      <c r="AB202"/>
      <c r="AC202"/>
      <c r="AD202"/>
    </row>
    <row r="203" spans="1:30">
      <c r="A203" t="s">
        <v>219</v>
      </c>
      <c r="B203" s="1" t="s">
        <v>581</v>
      </c>
      <c r="C203" s="1">
        <v>2400</v>
      </c>
      <c r="D203">
        <v>9</v>
      </c>
      <c r="E203">
        <v>0</v>
      </c>
      <c r="F203">
        <v>9</v>
      </c>
      <c r="G203">
        <v>0.5</v>
      </c>
      <c r="H203">
        <v>7</v>
      </c>
      <c r="I203">
        <v>0</v>
      </c>
      <c r="J203">
        <v>0</v>
      </c>
      <c r="K203" s="186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/>
      <c r="U203"/>
      <c r="V203"/>
      <c r="W203"/>
      <c r="X203"/>
      <c r="Y203"/>
      <c r="Z203"/>
      <c r="AA203"/>
      <c r="AB203"/>
      <c r="AC203"/>
      <c r="AD203"/>
    </row>
    <row r="204" spans="1:30">
      <c r="A204" t="s">
        <v>591</v>
      </c>
      <c r="B204" s="1" t="s">
        <v>592</v>
      </c>
      <c r="C204" s="1">
        <v>2400</v>
      </c>
      <c r="D204">
        <v>2</v>
      </c>
      <c r="E204">
        <v>0</v>
      </c>
      <c r="F204">
        <v>2</v>
      </c>
      <c r="G204">
        <v>0.5</v>
      </c>
      <c r="H204">
        <v>8</v>
      </c>
      <c r="I204">
        <v>0</v>
      </c>
      <c r="J204" s="186">
        <v>0.1</v>
      </c>
      <c r="K204" s="186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/>
      <c r="U204"/>
      <c r="V204"/>
      <c r="W204"/>
      <c r="X204"/>
      <c r="Y204"/>
      <c r="Z204"/>
      <c r="AA204"/>
      <c r="AB204"/>
      <c r="AC204"/>
      <c r="AD204"/>
    </row>
    <row r="205" spans="1:30">
      <c r="A205" t="s">
        <v>507</v>
      </c>
      <c r="B205" s="1" t="s">
        <v>416</v>
      </c>
      <c r="C205" s="1">
        <v>2400</v>
      </c>
      <c r="D205">
        <v>1</v>
      </c>
      <c r="E205">
        <v>0</v>
      </c>
      <c r="F205">
        <v>1</v>
      </c>
      <c r="G205">
        <v>1</v>
      </c>
      <c r="H205">
        <v>9</v>
      </c>
      <c r="I205">
        <v>0</v>
      </c>
      <c r="J205" s="186">
        <v>0.01</v>
      </c>
      <c r="K205" s="186">
        <v>0</v>
      </c>
      <c r="L205">
        <v>0</v>
      </c>
      <c r="M205">
        <v>0</v>
      </c>
      <c r="N205">
        <v>1</v>
      </c>
      <c r="O205">
        <v>0</v>
      </c>
      <c r="P205">
        <v>0</v>
      </c>
      <c r="Q205">
        <v>0</v>
      </c>
      <c r="R205">
        <v>0</v>
      </c>
      <c r="S205">
        <v>0</v>
      </c>
      <c r="T205"/>
      <c r="U205"/>
      <c r="V205"/>
      <c r="W205"/>
      <c r="X205"/>
      <c r="Y205"/>
      <c r="Z205"/>
      <c r="AA205"/>
      <c r="AB205"/>
      <c r="AC205"/>
      <c r="AD205"/>
    </row>
    <row r="206" spans="1:30">
      <c r="A206" t="s">
        <v>389</v>
      </c>
      <c r="B206" s="1" t="s">
        <v>390</v>
      </c>
      <c r="C206" s="1">
        <v>100</v>
      </c>
      <c r="D206">
        <v>2</v>
      </c>
      <c r="E206">
        <v>-1</v>
      </c>
      <c r="F206">
        <v>2</v>
      </c>
      <c r="G206">
        <v>0.5</v>
      </c>
      <c r="H206">
        <v>10</v>
      </c>
      <c r="I206">
        <v>0</v>
      </c>
      <c r="J206" s="186">
        <v>0</v>
      </c>
      <c r="K206" s="186">
        <v>0</v>
      </c>
      <c r="L206">
        <v>1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/>
      <c r="U206"/>
      <c r="V206"/>
      <c r="W206"/>
      <c r="X206"/>
      <c r="Y206"/>
      <c r="Z206"/>
      <c r="AA206"/>
      <c r="AB206"/>
      <c r="AC206"/>
      <c r="AD206"/>
    </row>
    <row r="207" spans="1:30">
      <c r="A207" t="s">
        <v>593</v>
      </c>
      <c r="B207" s="1" t="s">
        <v>594</v>
      </c>
      <c r="C207" s="1">
        <v>2400</v>
      </c>
      <c r="D207">
        <v>3</v>
      </c>
      <c r="E207">
        <v>1</v>
      </c>
      <c r="F207">
        <v>4</v>
      </c>
      <c r="G207">
        <v>1</v>
      </c>
      <c r="H207">
        <v>11</v>
      </c>
      <c r="I207" s="186">
        <v>0.01</v>
      </c>
      <c r="J207" s="186">
        <v>0</v>
      </c>
      <c r="K207" s="186">
        <v>0</v>
      </c>
      <c r="L207">
        <v>0</v>
      </c>
      <c r="M207">
        <v>0</v>
      </c>
      <c r="N207">
        <v>0</v>
      </c>
      <c r="O207">
        <v>0</v>
      </c>
      <c r="P207">
        <v>1</v>
      </c>
      <c r="Q207">
        <v>1</v>
      </c>
      <c r="R207">
        <v>1</v>
      </c>
      <c r="S207">
        <v>1</v>
      </c>
      <c r="T207"/>
      <c r="U207"/>
      <c r="V207"/>
      <c r="W207"/>
      <c r="X207"/>
      <c r="Y207"/>
      <c r="Z207"/>
      <c r="AA207"/>
      <c r="AB207"/>
      <c r="AC207"/>
      <c r="AD207"/>
    </row>
    <row r="208" spans="1:30">
      <c r="A208" t="s">
        <v>588</v>
      </c>
      <c r="B208" s="1" t="s">
        <v>641</v>
      </c>
      <c r="C208" s="1">
        <v>2400</v>
      </c>
      <c r="D208">
        <v>1</v>
      </c>
      <c r="E208">
        <v>30</v>
      </c>
      <c r="F208">
        <v>31</v>
      </c>
      <c r="G208">
        <v>2</v>
      </c>
      <c r="H208">
        <v>12</v>
      </c>
      <c r="I208">
        <v>0</v>
      </c>
      <c r="J208" s="186">
        <v>0</v>
      </c>
      <c r="K208" s="186">
        <v>-0.1</v>
      </c>
      <c r="L208">
        <v>0</v>
      </c>
      <c r="M208">
        <v>0</v>
      </c>
      <c r="N208">
        <v>0</v>
      </c>
      <c r="O208">
        <v>0</v>
      </c>
      <c r="P208">
        <v>1</v>
      </c>
      <c r="Q208">
        <v>1</v>
      </c>
      <c r="R208">
        <v>0</v>
      </c>
      <c r="S208">
        <v>1</v>
      </c>
      <c r="T208"/>
      <c r="U208"/>
      <c r="V208"/>
      <c r="W208"/>
      <c r="X208"/>
      <c r="Y208"/>
      <c r="Z208"/>
      <c r="AA208"/>
      <c r="AB208"/>
      <c r="AC208"/>
      <c r="AD208"/>
    </row>
    <row r="209" spans="1:30">
      <c r="A209" t="s">
        <v>627</v>
      </c>
      <c r="B209" s="1" t="s">
        <v>433</v>
      </c>
      <c r="C209" s="1">
        <v>2400</v>
      </c>
      <c r="D209">
        <v>5</v>
      </c>
      <c r="E209">
        <v>10</v>
      </c>
      <c r="F209">
        <v>15</v>
      </c>
      <c r="G209">
        <v>1.5</v>
      </c>
      <c r="H209">
        <v>13</v>
      </c>
      <c r="I209">
        <v>0</v>
      </c>
      <c r="J209" s="186">
        <v>0</v>
      </c>
      <c r="K209" s="186">
        <v>0</v>
      </c>
      <c r="L209">
        <v>0</v>
      </c>
      <c r="M209">
        <v>0</v>
      </c>
      <c r="N209">
        <v>0</v>
      </c>
      <c r="O209">
        <v>0</v>
      </c>
      <c r="P209">
        <v>1</v>
      </c>
      <c r="Q209">
        <v>0</v>
      </c>
      <c r="R209">
        <v>1</v>
      </c>
      <c r="S209">
        <v>0</v>
      </c>
      <c r="T209"/>
      <c r="U209"/>
      <c r="V209"/>
      <c r="W209"/>
      <c r="X209"/>
      <c r="Y209"/>
      <c r="Z209"/>
      <c r="AA209"/>
      <c r="AB209"/>
      <c r="AC209"/>
      <c r="AD209"/>
    </row>
    <row r="210" spans="1:30">
      <c r="A210" t="s">
        <v>435</v>
      </c>
      <c r="B210" s="1" t="s">
        <v>434</v>
      </c>
      <c r="C210" s="1">
        <v>2400</v>
      </c>
      <c r="D210">
        <v>10</v>
      </c>
      <c r="E210">
        <v>10</v>
      </c>
      <c r="F210">
        <v>20</v>
      </c>
      <c r="G210">
        <v>0.5</v>
      </c>
      <c r="H210">
        <v>14</v>
      </c>
      <c r="I210">
        <v>0</v>
      </c>
      <c r="J210" s="186">
        <v>0</v>
      </c>
      <c r="K210" s="186">
        <v>-0.1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1</v>
      </c>
      <c r="T210"/>
      <c r="U210"/>
      <c r="V210"/>
      <c r="W210"/>
      <c r="X210"/>
      <c r="Y210"/>
      <c r="Z210"/>
      <c r="AA210"/>
      <c r="AB210"/>
      <c r="AC210"/>
      <c r="AD210"/>
    </row>
    <row r="213" spans="1:30">
      <c r="A213" s="94" t="s">
        <v>222</v>
      </c>
    </row>
    <row r="214" spans="1:30">
      <c r="A214" s="120" t="s">
        <v>222</v>
      </c>
    </row>
    <row r="215" spans="1:30">
      <c r="A215" s="120" t="s">
        <v>363</v>
      </c>
    </row>
    <row r="216" spans="1:30">
      <c r="A216" s="120" t="s">
        <v>1023</v>
      </c>
    </row>
    <row r="219" spans="1:30">
      <c r="A219" s="120" t="s">
        <v>81</v>
      </c>
      <c r="B219" s="1" t="s">
        <v>579</v>
      </c>
      <c r="C219" s="1" t="s">
        <v>25</v>
      </c>
      <c r="D219" s="1" t="s">
        <v>232</v>
      </c>
      <c r="E219" s="1" t="s">
        <v>602</v>
      </c>
      <c r="F219" s="1" t="s">
        <v>234</v>
      </c>
      <c r="G219" s="1" t="s">
        <v>235</v>
      </c>
      <c r="H219" s="1" t="s">
        <v>581</v>
      </c>
      <c r="I219" s="1" t="s">
        <v>592</v>
      </c>
      <c r="J219" s="1" t="s">
        <v>416</v>
      </c>
      <c r="K219" s="1" t="s">
        <v>390</v>
      </c>
      <c r="L219" s="1" t="s">
        <v>594</v>
      </c>
      <c r="M219" s="1" t="s">
        <v>641</v>
      </c>
      <c r="N219" s="1" t="s">
        <v>433</v>
      </c>
      <c r="O219" s="1" t="s">
        <v>434</v>
      </c>
    </row>
    <row r="220" spans="1:30">
      <c r="A220" s="120">
        <v>7</v>
      </c>
      <c r="B220" s="120">
        <v>0</v>
      </c>
      <c r="C220" s="120">
        <v>0</v>
      </c>
      <c r="D220" s="120">
        <v>0</v>
      </c>
      <c r="E220" s="120">
        <v>0</v>
      </c>
      <c r="F220" s="120">
        <v>0</v>
      </c>
      <c r="G220" s="120">
        <v>0</v>
      </c>
      <c r="H220" s="120">
        <v>0</v>
      </c>
      <c r="I220" s="120">
        <v>1</v>
      </c>
      <c r="J220" s="120">
        <v>0</v>
      </c>
      <c r="K220" s="120">
        <v>0</v>
      </c>
      <c r="L220" s="120">
        <v>0</v>
      </c>
      <c r="M220" s="120">
        <v>0</v>
      </c>
      <c r="N220" s="120">
        <v>1</v>
      </c>
      <c r="O220" s="120">
        <v>0</v>
      </c>
    </row>
    <row r="221" spans="1:30">
      <c r="A221" s="120">
        <v>8</v>
      </c>
      <c r="B221" s="120">
        <v>0</v>
      </c>
      <c r="C221" s="120">
        <v>0</v>
      </c>
      <c r="D221" s="120">
        <v>0</v>
      </c>
      <c r="E221" s="120">
        <v>0</v>
      </c>
      <c r="F221" s="120">
        <v>0</v>
      </c>
      <c r="G221" s="120">
        <v>0</v>
      </c>
      <c r="H221" s="120">
        <v>1</v>
      </c>
      <c r="I221" s="120">
        <v>4</v>
      </c>
      <c r="J221" s="120">
        <v>1</v>
      </c>
      <c r="K221" s="120">
        <v>0</v>
      </c>
      <c r="L221" s="120">
        <v>1</v>
      </c>
      <c r="M221" s="120">
        <v>0</v>
      </c>
      <c r="N221" s="120">
        <v>2</v>
      </c>
      <c r="O221" s="120">
        <v>0</v>
      </c>
    </row>
    <row r="222" spans="1:30">
      <c r="A222" s="120">
        <v>9</v>
      </c>
      <c r="B222" s="120">
        <v>1</v>
      </c>
      <c r="C222" s="120">
        <v>0</v>
      </c>
      <c r="D222" s="120">
        <v>0</v>
      </c>
      <c r="E222" s="120">
        <v>0</v>
      </c>
      <c r="F222" s="120">
        <v>1</v>
      </c>
      <c r="G222" s="120">
        <v>1</v>
      </c>
      <c r="H222" s="120">
        <v>4</v>
      </c>
      <c r="I222" s="120">
        <v>7</v>
      </c>
      <c r="J222" s="120">
        <v>3</v>
      </c>
      <c r="K222" s="120">
        <v>0</v>
      </c>
      <c r="L222" s="120">
        <v>2</v>
      </c>
      <c r="M222" s="120">
        <v>0</v>
      </c>
      <c r="N222" s="120">
        <v>3</v>
      </c>
      <c r="O222" s="120">
        <v>0</v>
      </c>
    </row>
    <row r="223" spans="1:30">
      <c r="A223" s="120">
        <v>10</v>
      </c>
      <c r="B223" s="120">
        <v>1</v>
      </c>
      <c r="C223" s="120">
        <v>0</v>
      </c>
      <c r="D223" s="120">
        <v>0</v>
      </c>
      <c r="E223" s="120">
        <v>0</v>
      </c>
      <c r="F223" s="120">
        <v>4</v>
      </c>
      <c r="G223" s="120">
        <v>3</v>
      </c>
      <c r="H223" s="120">
        <v>7</v>
      </c>
      <c r="I223" s="120">
        <v>9</v>
      </c>
      <c r="J223" s="120">
        <v>5</v>
      </c>
      <c r="K223" s="120">
        <v>1</v>
      </c>
      <c r="L223" s="120">
        <v>3</v>
      </c>
      <c r="M223" s="120">
        <v>0</v>
      </c>
      <c r="N223" s="120">
        <v>4</v>
      </c>
      <c r="O223" s="120">
        <v>0</v>
      </c>
    </row>
    <row r="224" spans="1:30">
      <c r="A224" s="120">
        <v>11</v>
      </c>
      <c r="B224" s="120">
        <v>2</v>
      </c>
      <c r="C224" s="120">
        <v>0</v>
      </c>
      <c r="D224" s="120">
        <v>0</v>
      </c>
      <c r="E224" s="120">
        <v>0</v>
      </c>
      <c r="F224" s="120">
        <v>7</v>
      </c>
      <c r="G224" s="120">
        <v>5</v>
      </c>
      <c r="H224" s="120">
        <v>9</v>
      </c>
      <c r="I224" s="120">
        <v>9</v>
      </c>
      <c r="J224" s="120">
        <v>7</v>
      </c>
      <c r="K224" s="120">
        <v>1</v>
      </c>
      <c r="L224" s="120">
        <v>4</v>
      </c>
      <c r="M224" s="120">
        <v>0</v>
      </c>
      <c r="N224" s="120">
        <v>5</v>
      </c>
      <c r="O224" s="120">
        <v>0</v>
      </c>
    </row>
    <row r="225" spans="1:15">
      <c r="A225" s="120">
        <v>12</v>
      </c>
      <c r="B225" s="120">
        <v>3</v>
      </c>
      <c r="C225" s="120">
        <v>0</v>
      </c>
      <c r="D225" s="120">
        <v>0</v>
      </c>
      <c r="E225" s="120">
        <v>0</v>
      </c>
      <c r="F225" s="120">
        <v>9</v>
      </c>
      <c r="G225" s="120">
        <v>7</v>
      </c>
      <c r="H225" s="120">
        <v>9</v>
      </c>
      <c r="I225" s="120">
        <v>9</v>
      </c>
      <c r="J225" s="120">
        <v>9</v>
      </c>
      <c r="K225" s="120">
        <v>1</v>
      </c>
      <c r="L225" s="120">
        <v>5</v>
      </c>
      <c r="M225" s="120">
        <v>0</v>
      </c>
      <c r="N225" s="120">
        <v>6</v>
      </c>
      <c r="O225" s="120">
        <v>0</v>
      </c>
    </row>
    <row r="226" spans="1:15">
      <c r="A226" s="120">
        <v>13</v>
      </c>
      <c r="B226" s="120">
        <v>4</v>
      </c>
      <c r="C226" s="120">
        <v>0</v>
      </c>
      <c r="D226" s="120">
        <v>0</v>
      </c>
      <c r="E226" s="120">
        <v>0</v>
      </c>
      <c r="F226" s="120">
        <v>9</v>
      </c>
      <c r="G226" s="120">
        <v>9</v>
      </c>
      <c r="H226" s="120">
        <v>9</v>
      </c>
      <c r="I226" s="120">
        <v>9</v>
      </c>
      <c r="J226" s="120">
        <v>9</v>
      </c>
      <c r="K226" s="120">
        <v>1</v>
      </c>
      <c r="L226" s="120">
        <v>6</v>
      </c>
      <c r="M226" s="120">
        <v>0</v>
      </c>
      <c r="N226" s="120">
        <v>7</v>
      </c>
      <c r="O226" s="120">
        <v>0</v>
      </c>
    </row>
    <row r="227" spans="1:15">
      <c r="A227" s="120">
        <v>14</v>
      </c>
      <c r="B227" s="120">
        <v>5</v>
      </c>
      <c r="C227" s="120">
        <v>0</v>
      </c>
      <c r="D227" s="120">
        <v>0</v>
      </c>
      <c r="E227" s="120">
        <v>0</v>
      </c>
      <c r="F227" s="120">
        <v>9</v>
      </c>
      <c r="G227" s="120">
        <v>9</v>
      </c>
      <c r="H227" s="120">
        <v>9</v>
      </c>
      <c r="I227" s="120">
        <v>9</v>
      </c>
      <c r="J227" s="120">
        <v>9</v>
      </c>
      <c r="K227" s="120">
        <v>2</v>
      </c>
      <c r="L227" s="120">
        <v>7</v>
      </c>
      <c r="M227" s="120">
        <v>0</v>
      </c>
      <c r="N227" s="120">
        <v>8</v>
      </c>
      <c r="O227" s="120">
        <v>1</v>
      </c>
    </row>
    <row r="228" spans="1:15">
      <c r="A228" s="120">
        <v>15</v>
      </c>
      <c r="B228" s="120">
        <v>6</v>
      </c>
      <c r="C228" s="120">
        <v>0</v>
      </c>
      <c r="D228" s="120">
        <v>0</v>
      </c>
      <c r="E228" s="120">
        <v>0</v>
      </c>
      <c r="F228" s="120">
        <v>9</v>
      </c>
      <c r="G228" s="120">
        <v>9</v>
      </c>
      <c r="H228" s="120">
        <v>9</v>
      </c>
      <c r="I228" s="120">
        <v>9</v>
      </c>
      <c r="J228" s="120">
        <v>9</v>
      </c>
      <c r="K228" s="120">
        <v>2</v>
      </c>
      <c r="L228" s="120">
        <v>8</v>
      </c>
      <c r="M228" s="120">
        <v>0</v>
      </c>
      <c r="N228" s="120">
        <v>9</v>
      </c>
      <c r="O228" s="120">
        <v>2</v>
      </c>
    </row>
    <row r="229" spans="1:15">
      <c r="A229" s="120">
        <v>16</v>
      </c>
      <c r="B229" s="120">
        <v>7</v>
      </c>
      <c r="C229" s="120">
        <v>0</v>
      </c>
      <c r="D229" s="120">
        <v>0</v>
      </c>
      <c r="E229" s="120">
        <v>0</v>
      </c>
      <c r="F229" s="120">
        <v>9</v>
      </c>
      <c r="G229" s="120">
        <v>9</v>
      </c>
      <c r="H229" s="120">
        <v>9</v>
      </c>
      <c r="I229" s="120">
        <v>9</v>
      </c>
      <c r="J229" s="120">
        <v>9</v>
      </c>
      <c r="K229" s="120">
        <v>2</v>
      </c>
      <c r="L229" s="120">
        <v>9</v>
      </c>
      <c r="M229" s="120">
        <v>0</v>
      </c>
      <c r="N229" s="120">
        <v>9</v>
      </c>
      <c r="O229" s="120">
        <v>3</v>
      </c>
    </row>
    <row r="230" spans="1:15">
      <c r="A230" s="120">
        <v>17</v>
      </c>
      <c r="B230" s="120">
        <v>8</v>
      </c>
      <c r="C230" s="120">
        <v>1</v>
      </c>
      <c r="D230" s="120">
        <v>0</v>
      </c>
      <c r="E230" s="120">
        <v>0</v>
      </c>
      <c r="F230" s="120">
        <v>9</v>
      </c>
      <c r="G230" s="120">
        <v>9</v>
      </c>
      <c r="H230" s="120">
        <v>9</v>
      </c>
      <c r="I230" s="120">
        <v>9</v>
      </c>
      <c r="J230" s="120">
        <v>9</v>
      </c>
      <c r="K230" s="120">
        <v>3</v>
      </c>
      <c r="L230" s="120">
        <v>9</v>
      </c>
      <c r="M230" s="120">
        <v>0</v>
      </c>
      <c r="N230" s="120">
        <v>9</v>
      </c>
      <c r="O230" s="120">
        <v>4</v>
      </c>
    </row>
    <row r="231" spans="1:15">
      <c r="A231" s="120">
        <v>18</v>
      </c>
      <c r="B231" s="120">
        <v>9</v>
      </c>
      <c r="C231" s="120">
        <v>1</v>
      </c>
      <c r="D231" s="120">
        <v>0</v>
      </c>
      <c r="E231" s="120">
        <v>0</v>
      </c>
      <c r="F231" s="120">
        <v>9</v>
      </c>
      <c r="G231" s="120">
        <v>9</v>
      </c>
      <c r="H231" s="120">
        <v>9</v>
      </c>
      <c r="I231" s="120">
        <v>9</v>
      </c>
      <c r="J231" s="120">
        <v>9</v>
      </c>
      <c r="K231" s="120">
        <v>3</v>
      </c>
      <c r="L231" s="120">
        <v>9</v>
      </c>
      <c r="M231" s="120">
        <v>0</v>
      </c>
      <c r="N231" s="120">
        <v>9</v>
      </c>
      <c r="O231" s="120">
        <v>5</v>
      </c>
    </row>
    <row r="232" spans="1:15">
      <c r="A232" s="120">
        <v>19</v>
      </c>
      <c r="B232" s="120">
        <v>9</v>
      </c>
      <c r="C232" s="120">
        <v>2</v>
      </c>
      <c r="D232" s="120">
        <v>0</v>
      </c>
      <c r="E232" s="120">
        <v>0</v>
      </c>
      <c r="F232" s="120">
        <v>9</v>
      </c>
      <c r="G232" s="120">
        <v>9</v>
      </c>
      <c r="H232" s="120">
        <v>9</v>
      </c>
      <c r="I232" s="120">
        <v>9</v>
      </c>
      <c r="J232" s="120">
        <v>9</v>
      </c>
      <c r="K232" s="120">
        <v>4</v>
      </c>
      <c r="L232" s="120">
        <v>9</v>
      </c>
      <c r="M232" s="120">
        <v>1</v>
      </c>
      <c r="N232" s="120">
        <v>9</v>
      </c>
      <c r="O232" s="120">
        <v>6</v>
      </c>
    </row>
    <row r="233" spans="1:15">
      <c r="A233" s="120">
        <v>20</v>
      </c>
      <c r="B233" s="120">
        <v>9</v>
      </c>
      <c r="C233" s="120">
        <v>3</v>
      </c>
      <c r="D233" s="120">
        <v>1</v>
      </c>
      <c r="E233" s="120">
        <v>0</v>
      </c>
      <c r="F233" s="120">
        <v>9</v>
      </c>
      <c r="G233" s="120">
        <v>9</v>
      </c>
      <c r="H233" s="120">
        <v>9</v>
      </c>
      <c r="I233" s="120">
        <v>9</v>
      </c>
      <c r="J233" s="120">
        <v>9</v>
      </c>
      <c r="K233" s="120">
        <v>5</v>
      </c>
      <c r="L233" s="120">
        <v>9</v>
      </c>
      <c r="M233" s="120">
        <v>2</v>
      </c>
      <c r="N233" s="120">
        <v>9</v>
      </c>
      <c r="O233" s="120">
        <v>7</v>
      </c>
    </row>
    <row r="234" spans="1:15">
      <c r="A234" s="120">
        <v>21</v>
      </c>
      <c r="B234" s="120">
        <v>9</v>
      </c>
      <c r="C234" s="120">
        <v>4</v>
      </c>
      <c r="D234" s="120">
        <v>1</v>
      </c>
      <c r="E234" s="120">
        <v>0</v>
      </c>
      <c r="F234" s="120">
        <v>9</v>
      </c>
      <c r="G234" s="120">
        <v>9</v>
      </c>
      <c r="H234" s="120">
        <v>9</v>
      </c>
      <c r="I234" s="120">
        <v>9</v>
      </c>
      <c r="J234" s="120">
        <v>9</v>
      </c>
      <c r="K234" s="120">
        <v>6</v>
      </c>
      <c r="L234" s="120">
        <v>9</v>
      </c>
      <c r="M234" s="120">
        <v>3</v>
      </c>
      <c r="N234" s="120">
        <v>9</v>
      </c>
      <c r="O234" s="120">
        <v>8</v>
      </c>
    </row>
    <row r="235" spans="1:15">
      <c r="A235" s="120">
        <v>22</v>
      </c>
      <c r="B235" s="120">
        <f xml:space="preserve"> MIN( 9, B234+1 )</f>
        <v>9</v>
      </c>
      <c r="C235" s="120">
        <f t="shared" ref="C235:O235" si="9" xml:space="preserve"> MIN( 9, C234+1 )</f>
        <v>5</v>
      </c>
      <c r="D235" s="120">
        <f t="shared" si="9"/>
        <v>2</v>
      </c>
      <c r="E235" s="120">
        <v>1</v>
      </c>
      <c r="F235" s="120">
        <f t="shared" si="9"/>
        <v>9</v>
      </c>
      <c r="G235" s="120">
        <f t="shared" si="9"/>
        <v>9</v>
      </c>
      <c r="H235" s="120">
        <f t="shared" si="9"/>
        <v>9</v>
      </c>
      <c r="I235" s="120">
        <f t="shared" si="9"/>
        <v>9</v>
      </c>
      <c r="J235" s="120">
        <f t="shared" si="9"/>
        <v>9</v>
      </c>
      <c r="K235" s="120">
        <v>7</v>
      </c>
      <c r="L235" s="120">
        <f t="shared" si="9"/>
        <v>9</v>
      </c>
      <c r="M235" s="120">
        <f t="shared" si="9"/>
        <v>4</v>
      </c>
      <c r="N235" s="120">
        <f t="shared" si="9"/>
        <v>9</v>
      </c>
      <c r="O235" s="120">
        <f t="shared" si="9"/>
        <v>9</v>
      </c>
    </row>
    <row r="236" spans="1:15">
      <c r="A236" s="120">
        <v>23</v>
      </c>
      <c r="B236" s="120">
        <f t="shared" ref="B236:B238" si="10" xml:space="preserve"> MIN( 9, B235+1 )</f>
        <v>9</v>
      </c>
      <c r="C236" s="120">
        <f t="shared" ref="C236:C238" si="11" xml:space="preserve"> MIN( 9, C235+1 )</f>
        <v>6</v>
      </c>
      <c r="D236" s="120">
        <f t="shared" ref="D236:D238" si="12" xml:space="preserve"> MIN( 9, D235+1 )</f>
        <v>3</v>
      </c>
      <c r="E236" s="120">
        <v>1</v>
      </c>
      <c r="F236" s="120">
        <f t="shared" ref="F236:F238" si="13" xml:space="preserve"> MIN( 9, F235+1 )</f>
        <v>9</v>
      </c>
      <c r="G236" s="120">
        <f t="shared" ref="G236:G238" si="14" xml:space="preserve"> MIN( 9, G235+1 )</f>
        <v>9</v>
      </c>
      <c r="H236" s="120">
        <f t="shared" ref="H236:H238" si="15" xml:space="preserve"> MIN( 9, H235+1 )</f>
        <v>9</v>
      </c>
      <c r="I236" s="120">
        <f t="shared" ref="I236:I238" si="16" xml:space="preserve"> MIN( 9, I235+1 )</f>
        <v>9</v>
      </c>
      <c r="J236" s="120">
        <f t="shared" ref="J236:J238" si="17" xml:space="preserve"> MIN( 9, J235+1 )</f>
        <v>9</v>
      </c>
      <c r="K236" s="120">
        <f t="shared" ref="K236:K238" si="18" xml:space="preserve"> MIN( 9, K235+1 )</f>
        <v>8</v>
      </c>
      <c r="L236" s="120">
        <f t="shared" ref="L236:L238" si="19" xml:space="preserve"> MIN( 9, L235+1 )</f>
        <v>9</v>
      </c>
      <c r="M236" s="120">
        <f t="shared" ref="M236:M238" si="20" xml:space="preserve"> MIN( 9, M235+1 )</f>
        <v>5</v>
      </c>
      <c r="N236" s="120">
        <f t="shared" ref="N236:N238" si="21" xml:space="preserve"> MIN( 9, N235+1 )</f>
        <v>9</v>
      </c>
      <c r="O236" s="120">
        <f t="shared" ref="O236:O238" si="22" xml:space="preserve"> MIN( 9, O235+1 )</f>
        <v>9</v>
      </c>
    </row>
    <row r="237" spans="1:15">
      <c r="A237" s="120">
        <v>24</v>
      </c>
      <c r="B237" s="120">
        <f t="shared" si="10"/>
        <v>9</v>
      </c>
      <c r="C237" s="120">
        <f t="shared" si="11"/>
        <v>7</v>
      </c>
      <c r="D237" s="120">
        <f t="shared" si="12"/>
        <v>4</v>
      </c>
      <c r="E237" s="120">
        <v>2</v>
      </c>
      <c r="F237" s="120">
        <f t="shared" si="13"/>
        <v>9</v>
      </c>
      <c r="G237" s="120">
        <f t="shared" si="14"/>
        <v>9</v>
      </c>
      <c r="H237" s="120">
        <f t="shared" si="15"/>
        <v>9</v>
      </c>
      <c r="I237" s="120">
        <f t="shared" si="16"/>
        <v>9</v>
      </c>
      <c r="J237" s="120">
        <f t="shared" si="17"/>
        <v>9</v>
      </c>
      <c r="K237" s="120">
        <f t="shared" si="18"/>
        <v>9</v>
      </c>
      <c r="L237" s="120">
        <f t="shared" si="19"/>
        <v>9</v>
      </c>
      <c r="M237" s="120">
        <f t="shared" si="20"/>
        <v>6</v>
      </c>
      <c r="N237" s="120">
        <f t="shared" si="21"/>
        <v>9</v>
      </c>
      <c r="O237" s="120">
        <f t="shared" si="22"/>
        <v>9</v>
      </c>
    </row>
    <row r="238" spans="1:15">
      <c r="A238" s="120">
        <v>25</v>
      </c>
      <c r="B238" s="120">
        <f t="shared" si="10"/>
        <v>9</v>
      </c>
      <c r="C238" s="120">
        <f t="shared" si="11"/>
        <v>8</v>
      </c>
      <c r="D238" s="120">
        <f t="shared" si="12"/>
        <v>5</v>
      </c>
      <c r="E238" s="120">
        <v>3</v>
      </c>
      <c r="F238" s="120">
        <f t="shared" si="13"/>
        <v>9</v>
      </c>
      <c r="G238" s="120">
        <f t="shared" si="14"/>
        <v>9</v>
      </c>
      <c r="H238" s="120">
        <f t="shared" si="15"/>
        <v>9</v>
      </c>
      <c r="I238" s="120">
        <f t="shared" si="16"/>
        <v>9</v>
      </c>
      <c r="J238" s="120">
        <f t="shared" si="17"/>
        <v>9</v>
      </c>
      <c r="K238" s="120">
        <f t="shared" si="18"/>
        <v>9</v>
      </c>
      <c r="L238" s="120">
        <f t="shared" si="19"/>
        <v>9</v>
      </c>
      <c r="M238" s="120">
        <f t="shared" si="20"/>
        <v>7</v>
      </c>
      <c r="N238" s="120">
        <f t="shared" si="21"/>
        <v>9</v>
      </c>
      <c r="O238" s="120">
        <f t="shared" si="22"/>
        <v>9</v>
      </c>
    </row>
    <row r="241" spans="1:15">
      <c r="A241" s="120" t="s">
        <v>77</v>
      </c>
      <c r="B241" s="1" t="s">
        <v>579</v>
      </c>
      <c r="C241" s="1" t="s">
        <v>25</v>
      </c>
      <c r="D241" s="1" t="s">
        <v>232</v>
      </c>
      <c r="E241" s="1" t="s">
        <v>602</v>
      </c>
      <c r="F241" s="1" t="s">
        <v>234</v>
      </c>
      <c r="G241" s="1" t="s">
        <v>235</v>
      </c>
      <c r="H241" s="1" t="s">
        <v>581</v>
      </c>
      <c r="I241" s="1" t="s">
        <v>592</v>
      </c>
      <c r="J241" s="1" t="s">
        <v>416</v>
      </c>
      <c r="K241" s="1" t="s">
        <v>390</v>
      </c>
      <c r="L241" s="1" t="s">
        <v>594</v>
      </c>
      <c r="M241" s="1" t="s">
        <v>641</v>
      </c>
      <c r="N241" s="1" t="s">
        <v>433</v>
      </c>
      <c r="O241" s="1" t="s">
        <v>434</v>
      </c>
    </row>
    <row r="242" spans="1:15">
      <c r="A242" s="120">
        <v>0</v>
      </c>
      <c r="B242" s="120">
        <v>0</v>
      </c>
      <c r="C242" s="120">
        <v>0</v>
      </c>
      <c r="D242" s="120">
        <v>0</v>
      </c>
      <c r="E242" s="120">
        <v>0</v>
      </c>
      <c r="F242" s="120"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</row>
    <row r="243" spans="1:15">
      <c r="A243" s="120">
        <v>1</v>
      </c>
      <c r="B243" s="120">
        <v>9</v>
      </c>
      <c r="C243" s="120">
        <v>17</v>
      </c>
      <c r="D243" s="120">
        <v>20</v>
      </c>
      <c r="E243" s="120">
        <v>22</v>
      </c>
      <c r="F243" s="120">
        <v>9</v>
      </c>
      <c r="G243" s="120">
        <v>9</v>
      </c>
      <c r="H243" s="120">
        <v>8</v>
      </c>
      <c r="I243" s="120">
        <v>7</v>
      </c>
      <c r="J243" s="120">
        <v>8</v>
      </c>
      <c r="K243" s="120">
        <v>10</v>
      </c>
      <c r="L243" s="120">
        <v>8</v>
      </c>
      <c r="M243" s="120">
        <v>19</v>
      </c>
      <c r="N243" s="120">
        <v>7</v>
      </c>
      <c r="O243" s="120">
        <v>14</v>
      </c>
    </row>
    <row r="244" spans="1:15">
      <c r="A244" s="120">
        <v>2</v>
      </c>
      <c r="B244" s="120">
        <v>11</v>
      </c>
      <c r="C244" s="120">
        <v>19</v>
      </c>
      <c r="D244" s="120">
        <v>22</v>
      </c>
      <c r="E244" s="120">
        <v>24</v>
      </c>
      <c r="F244" s="120">
        <v>9</v>
      </c>
      <c r="G244" s="120">
        <v>9</v>
      </c>
      <c r="H244" s="120">
        <v>8</v>
      </c>
      <c r="I244" s="120">
        <v>7</v>
      </c>
      <c r="J244" s="120">
        <v>8</v>
      </c>
      <c r="K244" s="120">
        <v>14</v>
      </c>
      <c r="L244" s="120">
        <v>9</v>
      </c>
      <c r="M244" s="120">
        <v>20</v>
      </c>
      <c r="N244" s="120">
        <v>8</v>
      </c>
      <c r="O244" s="120">
        <v>15</v>
      </c>
    </row>
    <row r="245" spans="1:15">
      <c r="A245" s="120">
        <v>3</v>
      </c>
      <c r="B245" s="120">
        <v>12</v>
      </c>
      <c r="C245" s="120">
        <v>20</v>
      </c>
      <c r="D245" s="120">
        <f>D244+1</f>
        <v>23</v>
      </c>
      <c r="E245" s="120">
        <v>25</v>
      </c>
      <c r="F245" s="120">
        <v>9</v>
      </c>
      <c r="G245" s="120">
        <v>10</v>
      </c>
      <c r="H245" s="120">
        <v>8</v>
      </c>
      <c r="I245" s="120">
        <v>7</v>
      </c>
      <c r="J245" s="120">
        <v>9</v>
      </c>
      <c r="K245" s="120">
        <v>17</v>
      </c>
      <c r="L245" s="120">
        <v>10</v>
      </c>
      <c r="M245" s="120">
        <v>21</v>
      </c>
      <c r="N245" s="120">
        <v>9</v>
      </c>
      <c r="O245" s="120">
        <v>16</v>
      </c>
    </row>
    <row r="246" spans="1:15">
      <c r="A246" s="120">
        <v>4</v>
      </c>
      <c r="B246" s="120">
        <v>13</v>
      </c>
      <c r="C246" s="120">
        <v>21</v>
      </c>
      <c r="D246" s="120">
        <f t="shared" ref="D246:E251" si="23">D245+1</f>
        <v>24</v>
      </c>
      <c r="E246" s="120">
        <v>26</v>
      </c>
      <c r="F246" s="120">
        <v>10</v>
      </c>
      <c r="G246" s="120">
        <v>10</v>
      </c>
      <c r="H246" s="120">
        <v>9</v>
      </c>
      <c r="I246" s="120">
        <v>8</v>
      </c>
      <c r="J246" s="120">
        <v>9</v>
      </c>
      <c r="K246" s="120">
        <v>19</v>
      </c>
      <c r="L246" s="120">
        <v>11</v>
      </c>
      <c r="M246" s="120">
        <v>22</v>
      </c>
      <c r="N246" s="120">
        <v>10</v>
      </c>
      <c r="O246" s="120">
        <v>17</v>
      </c>
    </row>
    <row r="247" spans="1:15">
      <c r="A247" s="120">
        <v>5</v>
      </c>
      <c r="B247" s="120">
        <v>14</v>
      </c>
      <c r="C247" s="120">
        <v>22</v>
      </c>
      <c r="D247" s="120">
        <f t="shared" si="23"/>
        <v>25</v>
      </c>
      <c r="E247" s="120">
        <v>27</v>
      </c>
      <c r="F247" s="120">
        <v>10</v>
      </c>
      <c r="G247" s="120">
        <v>11</v>
      </c>
      <c r="H247" s="120">
        <v>9</v>
      </c>
      <c r="I247" s="120">
        <v>8</v>
      </c>
      <c r="J247" s="120">
        <v>10</v>
      </c>
      <c r="K247" s="120">
        <v>20</v>
      </c>
      <c r="L247" s="120">
        <v>12</v>
      </c>
      <c r="M247" s="120">
        <v>23</v>
      </c>
      <c r="N247" s="120">
        <v>11</v>
      </c>
      <c r="O247" s="120">
        <v>18</v>
      </c>
    </row>
    <row r="248" spans="1:15">
      <c r="A248" s="120">
        <v>6</v>
      </c>
      <c r="B248" s="120">
        <v>15</v>
      </c>
      <c r="C248" s="120">
        <v>23</v>
      </c>
      <c r="D248" s="120">
        <f t="shared" si="23"/>
        <v>26</v>
      </c>
      <c r="E248" s="120">
        <f t="shared" si="23"/>
        <v>28</v>
      </c>
      <c r="F248" s="120">
        <v>10</v>
      </c>
      <c r="G248" s="120">
        <v>11</v>
      </c>
      <c r="H248" s="120">
        <v>9</v>
      </c>
      <c r="I248" s="120">
        <v>8</v>
      </c>
      <c r="J248" s="120">
        <v>10</v>
      </c>
      <c r="K248" s="120">
        <v>21</v>
      </c>
      <c r="L248" s="120">
        <v>13</v>
      </c>
      <c r="M248" s="120">
        <v>24</v>
      </c>
      <c r="N248" s="120">
        <v>12</v>
      </c>
      <c r="O248" s="120">
        <v>19</v>
      </c>
    </row>
    <row r="249" spans="1:15">
      <c r="A249" s="120">
        <v>7</v>
      </c>
      <c r="B249" s="120">
        <v>16</v>
      </c>
      <c r="C249" s="120">
        <v>24</v>
      </c>
      <c r="D249" s="120">
        <f t="shared" si="23"/>
        <v>27</v>
      </c>
      <c r="E249" s="120">
        <f t="shared" si="23"/>
        <v>29</v>
      </c>
      <c r="F249" s="120">
        <v>11</v>
      </c>
      <c r="G249" s="120">
        <v>12</v>
      </c>
      <c r="H249" s="120">
        <v>10</v>
      </c>
      <c r="I249" s="120">
        <v>9</v>
      </c>
      <c r="J249" s="120">
        <v>11</v>
      </c>
      <c r="K249" s="120">
        <v>22</v>
      </c>
      <c r="L249" s="120">
        <v>14</v>
      </c>
      <c r="M249" s="120">
        <v>25</v>
      </c>
      <c r="N249" s="120">
        <v>13</v>
      </c>
      <c r="O249" s="120">
        <v>20</v>
      </c>
    </row>
    <row r="250" spans="1:15">
      <c r="A250" s="120">
        <v>8</v>
      </c>
      <c r="B250" s="120">
        <v>17</v>
      </c>
      <c r="C250" s="120">
        <v>25</v>
      </c>
      <c r="D250" s="120">
        <f t="shared" si="23"/>
        <v>28</v>
      </c>
      <c r="E250" s="120">
        <f t="shared" si="23"/>
        <v>30</v>
      </c>
      <c r="F250" s="120">
        <v>11</v>
      </c>
      <c r="G250" s="120">
        <v>12</v>
      </c>
      <c r="H250" s="120">
        <v>10</v>
      </c>
      <c r="I250" s="120">
        <v>9</v>
      </c>
      <c r="J250" s="120">
        <v>11</v>
      </c>
      <c r="K250" s="120">
        <v>23</v>
      </c>
      <c r="L250" s="120">
        <v>15</v>
      </c>
      <c r="M250" s="120">
        <v>26</v>
      </c>
      <c r="N250" s="120">
        <v>14</v>
      </c>
      <c r="O250" s="120">
        <v>21</v>
      </c>
    </row>
    <row r="251" spans="1:15">
      <c r="A251" s="120">
        <v>9</v>
      </c>
      <c r="B251" s="120">
        <v>18</v>
      </c>
      <c r="C251" s="120">
        <v>26</v>
      </c>
      <c r="D251" s="120">
        <f t="shared" si="23"/>
        <v>29</v>
      </c>
      <c r="E251" s="120">
        <f t="shared" si="23"/>
        <v>31</v>
      </c>
      <c r="F251" s="120">
        <v>12</v>
      </c>
      <c r="G251" s="120">
        <v>13</v>
      </c>
      <c r="H251" s="120">
        <v>11</v>
      </c>
      <c r="I251" s="120">
        <v>10</v>
      </c>
      <c r="J251" s="120">
        <v>12</v>
      </c>
      <c r="K251" s="120">
        <v>24</v>
      </c>
      <c r="L251" s="120">
        <v>16</v>
      </c>
      <c r="M251" s="120">
        <v>27</v>
      </c>
      <c r="N251" s="120">
        <v>15</v>
      </c>
      <c r="O251" s="120">
        <v>22</v>
      </c>
    </row>
    <row r="254" spans="1:15">
      <c r="A254" s="120" t="s">
        <v>569</v>
      </c>
      <c r="B254" s="128" t="s">
        <v>922</v>
      </c>
      <c r="C254" s="128" t="s">
        <v>364</v>
      </c>
      <c r="D254" s="128" t="s">
        <v>30</v>
      </c>
      <c r="E254" s="128" t="s">
        <v>351</v>
      </c>
      <c r="F254" s="128" t="s">
        <v>317</v>
      </c>
      <c r="G254" s="128" t="s">
        <v>406</v>
      </c>
      <c r="H254" s="128" t="s">
        <v>531</v>
      </c>
      <c r="I254" s="128" t="s">
        <v>1036</v>
      </c>
    </row>
    <row r="255" spans="1:15">
      <c r="A255" s="120">
        <v>0</v>
      </c>
      <c r="B255" s="120" t="str">
        <f>"-"</f>
        <v>-</v>
      </c>
      <c r="C255" s="120">
        <v>0</v>
      </c>
      <c r="D255" s="120">
        <v>0</v>
      </c>
      <c r="E255" s="120">
        <v>1</v>
      </c>
      <c r="F255" s="120">
        <v>0</v>
      </c>
      <c r="G255" s="120">
        <v>2</v>
      </c>
      <c r="H255" s="120">
        <v>0</v>
      </c>
      <c r="I255" s="120">
        <v>1</v>
      </c>
    </row>
    <row r="256" spans="1:15">
      <c r="A256" s="120">
        <f>C256-100+1</f>
        <v>1</v>
      </c>
      <c r="B256" s="120" t="s">
        <v>889</v>
      </c>
      <c r="C256" s="120">
        <v>100</v>
      </c>
      <c r="D256" s="120">
        <v>10</v>
      </c>
      <c r="E256" s="120">
        <v>1</v>
      </c>
      <c r="F256" s="120">
        <v>2</v>
      </c>
      <c r="G256" s="120">
        <v>2</v>
      </c>
      <c r="H256" s="120">
        <v>4</v>
      </c>
      <c r="I256" s="120">
        <v>1</v>
      </c>
    </row>
    <row r="257" spans="1:9">
      <c r="A257" s="120">
        <f t="shared" ref="A257:A278" si="24">C257-100+1</f>
        <v>101</v>
      </c>
      <c r="B257" s="120" t="s">
        <v>655</v>
      </c>
      <c r="C257" s="120">
        <v>200</v>
      </c>
      <c r="D257" s="120">
        <v>15</v>
      </c>
      <c r="E257" s="120">
        <v>1</v>
      </c>
      <c r="F257" s="120">
        <v>3</v>
      </c>
      <c r="G257" s="120">
        <v>2</v>
      </c>
      <c r="H257" s="120">
        <v>7</v>
      </c>
      <c r="I257" s="120">
        <v>1</v>
      </c>
    </row>
    <row r="258" spans="1:9">
      <c r="A258" s="120">
        <f t="shared" si="24"/>
        <v>201</v>
      </c>
      <c r="B258" s="120" t="s">
        <v>765</v>
      </c>
      <c r="C258" s="120">
        <v>300</v>
      </c>
      <c r="D258" s="120">
        <v>20</v>
      </c>
      <c r="E258" s="120">
        <v>1</v>
      </c>
      <c r="F258" s="120">
        <v>5</v>
      </c>
      <c r="G258" s="120">
        <v>2</v>
      </c>
      <c r="H258" s="120">
        <v>10</v>
      </c>
      <c r="I258" s="120">
        <v>1</v>
      </c>
    </row>
    <row r="259" spans="1:9">
      <c r="A259" s="120">
        <f t="shared" si="24"/>
        <v>301</v>
      </c>
      <c r="B259" s="120" t="s">
        <v>13</v>
      </c>
      <c r="C259" s="120">
        <v>400</v>
      </c>
      <c r="D259" s="120">
        <v>25</v>
      </c>
      <c r="E259" s="120">
        <v>1</v>
      </c>
      <c r="F259" s="120">
        <v>7</v>
      </c>
      <c r="G259" s="120">
        <v>2</v>
      </c>
      <c r="H259" s="120">
        <v>13</v>
      </c>
      <c r="I259" s="120">
        <v>1</v>
      </c>
    </row>
    <row r="260" spans="1:9">
      <c r="A260" s="120">
        <f t="shared" si="24"/>
        <v>401</v>
      </c>
      <c r="B260" s="120" t="s">
        <v>472</v>
      </c>
      <c r="C260" s="120">
        <v>500</v>
      </c>
      <c r="D260" s="120">
        <v>30</v>
      </c>
      <c r="E260" s="120">
        <v>1</v>
      </c>
      <c r="F260" s="120">
        <v>9</v>
      </c>
      <c r="G260" s="120">
        <v>2</v>
      </c>
      <c r="H260" s="120">
        <v>16</v>
      </c>
      <c r="I260" s="120">
        <v>1</v>
      </c>
    </row>
    <row r="261" spans="1:9">
      <c r="A261" s="120">
        <f t="shared" si="24"/>
        <v>501</v>
      </c>
      <c r="B261" s="120" t="s">
        <v>489</v>
      </c>
      <c r="C261" s="120">
        <v>600</v>
      </c>
      <c r="D261" s="120">
        <v>35</v>
      </c>
      <c r="E261" s="120">
        <v>1</v>
      </c>
      <c r="F261" s="120">
        <v>11</v>
      </c>
      <c r="G261" s="120">
        <v>2</v>
      </c>
      <c r="H261" s="120">
        <v>19</v>
      </c>
      <c r="I261" s="120">
        <v>1</v>
      </c>
    </row>
    <row r="262" spans="1:9">
      <c r="A262" s="120">
        <f t="shared" si="24"/>
        <v>601</v>
      </c>
      <c r="B262" s="120" t="s">
        <v>686</v>
      </c>
      <c r="C262" s="120">
        <v>700</v>
      </c>
      <c r="D262" s="120">
        <v>40</v>
      </c>
      <c r="E262" s="120">
        <v>1</v>
      </c>
      <c r="F262" s="120">
        <v>13</v>
      </c>
      <c r="G262" s="120">
        <v>2</v>
      </c>
      <c r="H262" s="120">
        <v>22</v>
      </c>
      <c r="I262" s="120">
        <v>1</v>
      </c>
    </row>
    <row r="263" spans="1:9">
      <c r="A263" s="120">
        <f t="shared" si="24"/>
        <v>701</v>
      </c>
      <c r="B263" s="120" t="s">
        <v>290</v>
      </c>
      <c r="C263" s="120">
        <v>800</v>
      </c>
      <c r="D263" s="120">
        <v>45</v>
      </c>
      <c r="E263" s="120">
        <v>1</v>
      </c>
      <c r="F263" s="120">
        <v>15</v>
      </c>
      <c r="G263" s="120">
        <v>2</v>
      </c>
      <c r="H263" s="120">
        <v>25</v>
      </c>
      <c r="I263" s="120">
        <v>1</v>
      </c>
    </row>
    <row r="264" spans="1:9">
      <c r="A264" s="120">
        <f t="shared" si="24"/>
        <v>801</v>
      </c>
      <c r="B264" s="120" t="s">
        <v>1112</v>
      </c>
      <c r="C264" s="120">
        <v>900</v>
      </c>
      <c r="D264" s="120">
        <v>50</v>
      </c>
      <c r="E264" s="120">
        <v>1</v>
      </c>
      <c r="F264" s="120">
        <v>17</v>
      </c>
      <c r="G264" s="120">
        <v>2</v>
      </c>
      <c r="H264" s="120">
        <v>28</v>
      </c>
      <c r="I264" s="120">
        <v>1</v>
      </c>
    </row>
    <row r="265" spans="1:9">
      <c r="A265" s="120">
        <f t="shared" si="24"/>
        <v>901</v>
      </c>
      <c r="B265" s="120" t="s">
        <v>1113</v>
      </c>
      <c r="C265" s="120">
        <v>1000</v>
      </c>
      <c r="D265" s="120">
        <v>55</v>
      </c>
      <c r="E265" s="120">
        <v>1</v>
      </c>
      <c r="F265" s="120">
        <v>19</v>
      </c>
      <c r="G265" s="120">
        <v>2</v>
      </c>
      <c r="H265" s="120">
        <v>31</v>
      </c>
      <c r="I265" s="120">
        <v>1</v>
      </c>
    </row>
    <row r="266" spans="1:9">
      <c r="A266" s="120">
        <f t="shared" si="24"/>
        <v>1001</v>
      </c>
      <c r="B266" s="120" t="s">
        <v>447</v>
      </c>
      <c r="C266" s="120">
        <v>1100</v>
      </c>
      <c r="D266" s="120">
        <v>60</v>
      </c>
      <c r="E266" s="120">
        <v>1</v>
      </c>
      <c r="F266" s="120">
        <v>21</v>
      </c>
      <c r="G266" s="120">
        <v>2</v>
      </c>
      <c r="H266" s="120">
        <v>34</v>
      </c>
      <c r="I266" s="120">
        <v>1</v>
      </c>
    </row>
    <row r="267" spans="1:9">
      <c r="A267" s="120">
        <f t="shared" si="24"/>
        <v>1101</v>
      </c>
      <c r="B267" s="120" t="s">
        <v>878</v>
      </c>
      <c r="C267" s="120">
        <v>1200</v>
      </c>
      <c r="D267" s="120">
        <v>65</v>
      </c>
      <c r="E267" s="120">
        <v>1</v>
      </c>
      <c r="F267" s="120">
        <v>23</v>
      </c>
      <c r="G267" s="120">
        <v>2</v>
      </c>
      <c r="H267" s="120">
        <v>37</v>
      </c>
      <c r="I267" s="120">
        <v>1</v>
      </c>
    </row>
    <row r="268" spans="1:9">
      <c r="A268" s="120">
        <f t="shared" si="24"/>
        <v>1201</v>
      </c>
      <c r="B268" s="120" t="s">
        <v>505</v>
      </c>
      <c r="C268" s="120">
        <v>1300</v>
      </c>
      <c r="D268" s="120">
        <v>70</v>
      </c>
      <c r="E268" s="120">
        <v>1</v>
      </c>
      <c r="F268" s="120">
        <v>25</v>
      </c>
      <c r="G268" s="120">
        <v>2</v>
      </c>
      <c r="H268" s="120">
        <v>40</v>
      </c>
      <c r="I268" s="120">
        <v>1</v>
      </c>
    </row>
    <row r="269" spans="1:9">
      <c r="A269" s="120">
        <f t="shared" si="24"/>
        <v>1301</v>
      </c>
      <c r="B269" s="120" t="s">
        <v>15</v>
      </c>
      <c r="C269" s="120">
        <v>1400</v>
      </c>
      <c r="D269" s="120">
        <v>75</v>
      </c>
      <c r="E269" s="120">
        <v>1</v>
      </c>
      <c r="F269" s="120">
        <v>27</v>
      </c>
      <c r="G269" s="120">
        <v>2</v>
      </c>
      <c r="H269" s="120">
        <v>43</v>
      </c>
      <c r="I269" s="120">
        <v>1</v>
      </c>
    </row>
    <row r="270" spans="1:9">
      <c r="A270" s="120">
        <f t="shared" si="24"/>
        <v>1401</v>
      </c>
      <c r="B270" s="120" t="s">
        <v>16</v>
      </c>
      <c r="C270" s="120">
        <v>1500</v>
      </c>
      <c r="D270" s="120">
        <v>80</v>
      </c>
      <c r="E270" s="120">
        <v>1</v>
      </c>
      <c r="F270" s="120">
        <v>29</v>
      </c>
      <c r="G270" s="120">
        <v>2</v>
      </c>
      <c r="H270" s="120">
        <v>46</v>
      </c>
      <c r="I270" s="120">
        <v>1</v>
      </c>
    </row>
    <row r="271" spans="1:9">
      <c r="A271" s="120">
        <f t="shared" si="24"/>
        <v>1501</v>
      </c>
      <c r="B271" s="120" t="s">
        <v>17</v>
      </c>
      <c r="C271" s="120">
        <v>1600</v>
      </c>
      <c r="D271" s="120">
        <v>85</v>
      </c>
      <c r="E271" s="120">
        <v>1</v>
      </c>
      <c r="F271" s="120">
        <v>31</v>
      </c>
      <c r="G271" s="120">
        <v>2</v>
      </c>
      <c r="H271" s="120">
        <v>49</v>
      </c>
      <c r="I271" s="120">
        <v>1</v>
      </c>
    </row>
    <row r="272" spans="1:9">
      <c r="A272" s="120">
        <f t="shared" si="24"/>
        <v>1601</v>
      </c>
      <c r="B272" s="120" t="s">
        <v>18</v>
      </c>
      <c r="C272" s="120">
        <v>1700</v>
      </c>
      <c r="D272" s="120">
        <v>90</v>
      </c>
      <c r="E272" s="120">
        <v>1</v>
      </c>
      <c r="F272" s="120">
        <v>33</v>
      </c>
      <c r="G272" s="120">
        <v>2</v>
      </c>
      <c r="H272" s="120">
        <v>52</v>
      </c>
      <c r="I272" s="120">
        <v>1</v>
      </c>
    </row>
    <row r="273" spans="1:9">
      <c r="A273" s="120">
        <f t="shared" si="24"/>
        <v>1701</v>
      </c>
      <c r="B273" s="120" t="s">
        <v>32</v>
      </c>
      <c r="C273" s="120">
        <v>1800</v>
      </c>
      <c r="D273" s="120">
        <v>95</v>
      </c>
      <c r="E273" s="120">
        <v>1</v>
      </c>
      <c r="F273" s="120">
        <v>35</v>
      </c>
      <c r="G273" s="120">
        <v>2</v>
      </c>
      <c r="H273" s="120">
        <v>55</v>
      </c>
      <c r="I273" s="120">
        <v>1</v>
      </c>
    </row>
    <row r="274" spans="1:9">
      <c r="A274" s="120">
        <f t="shared" si="24"/>
        <v>1801</v>
      </c>
      <c r="B274" s="120" t="s">
        <v>195</v>
      </c>
      <c r="C274" s="120">
        <v>1900</v>
      </c>
      <c r="D274" s="120">
        <v>100</v>
      </c>
      <c r="E274" s="120">
        <v>1</v>
      </c>
      <c r="F274" s="120">
        <v>37</v>
      </c>
      <c r="G274" s="120">
        <v>2</v>
      </c>
      <c r="H274" s="120">
        <v>58</v>
      </c>
      <c r="I274" s="120">
        <v>1</v>
      </c>
    </row>
    <row r="275" spans="1:9">
      <c r="A275" s="120">
        <f t="shared" si="24"/>
        <v>1901</v>
      </c>
      <c r="B275" s="120" t="s">
        <v>938</v>
      </c>
      <c r="C275" s="120">
        <v>2000</v>
      </c>
      <c r="D275" s="120">
        <v>105</v>
      </c>
      <c r="E275" s="120">
        <v>1</v>
      </c>
      <c r="F275" s="120">
        <v>39</v>
      </c>
      <c r="G275" s="120">
        <v>2</v>
      </c>
      <c r="H275" s="120">
        <v>61</v>
      </c>
      <c r="I275" s="120">
        <v>1</v>
      </c>
    </row>
    <row r="276" spans="1:9">
      <c r="A276" s="120">
        <f t="shared" si="24"/>
        <v>2001</v>
      </c>
      <c r="B276" s="120" t="s">
        <v>8</v>
      </c>
      <c r="C276" s="120">
        <v>2100</v>
      </c>
      <c r="D276" s="120">
        <v>110</v>
      </c>
      <c r="E276" s="120">
        <v>1</v>
      </c>
      <c r="F276" s="120">
        <v>41</v>
      </c>
      <c r="G276" s="120">
        <v>2</v>
      </c>
      <c r="H276" s="120">
        <v>64</v>
      </c>
      <c r="I276" s="120">
        <v>1</v>
      </c>
    </row>
    <row r="277" spans="1:9">
      <c r="A277" s="120">
        <f t="shared" si="24"/>
        <v>2101</v>
      </c>
      <c r="B277" s="120" t="s">
        <v>320</v>
      </c>
      <c r="C277" s="120">
        <v>2200</v>
      </c>
      <c r="D277" s="120">
        <v>115</v>
      </c>
      <c r="E277" s="120">
        <v>1</v>
      </c>
      <c r="F277" s="120">
        <v>43</v>
      </c>
      <c r="G277" s="120">
        <v>2</v>
      </c>
      <c r="H277" s="120">
        <v>67</v>
      </c>
      <c r="I277" s="120">
        <v>1</v>
      </c>
    </row>
    <row r="278" spans="1:9">
      <c r="A278" s="120">
        <f t="shared" si="24"/>
        <v>2201</v>
      </c>
      <c r="B278" s="120" t="s">
        <v>465</v>
      </c>
      <c r="C278" s="120">
        <v>2300</v>
      </c>
      <c r="D278" s="120">
        <v>120</v>
      </c>
      <c r="E278" s="120">
        <v>1</v>
      </c>
      <c r="F278" s="120">
        <v>45</v>
      </c>
      <c r="G278" s="120">
        <v>2</v>
      </c>
      <c r="H278" s="120">
        <v>70</v>
      </c>
      <c r="I278" s="120">
        <v>1</v>
      </c>
    </row>
    <row r="279" spans="1:9">
      <c r="A279" s="120">
        <f t="shared" ref="A279" si="25">C279-100+1</f>
        <v>2301</v>
      </c>
      <c r="B279" s="120" t="s">
        <v>859</v>
      </c>
      <c r="C279" s="120">
        <v>2400</v>
      </c>
      <c r="D279" s="120">
        <v>125</v>
      </c>
      <c r="E279" s="120">
        <v>1</v>
      </c>
      <c r="F279" s="120">
        <v>47</v>
      </c>
      <c r="G279" s="120">
        <v>2</v>
      </c>
      <c r="H279" s="120">
        <v>73</v>
      </c>
      <c r="I279" s="120">
        <v>1</v>
      </c>
    </row>
    <row r="280" spans="1:9">
      <c r="A280" s="120">
        <v>2401</v>
      </c>
      <c r="B280" s="120" t="s">
        <v>178</v>
      </c>
      <c r="C280" s="120">
        <v>2600</v>
      </c>
      <c r="D280" s="120">
        <v>140</v>
      </c>
      <c r="E280" s="120">
        <v>1</v>
      </c>
      <c r="F280" s="120">
        <v>50</v>
      </c>
      <c r="G280" s="120">
        <v>2</v>
      </c>
      <c r="H280" s="120">
        <v>80</v>
      </c>
      <c r="I280" s="120">
        <v>1</v>
      </c>
    </row>
    <row r="281" spans="1:9">
      <c r="A281" s="120">
        <v>2601</v>
      </c>
      <c r="B281" s="120" t="s">
        <v>740</v>
      </c>
      <c r="C281" s="120">
        <v>2800</v>
      </c>
      <c r="D281" s="120">
        <v>150</v>
      </c>
      <c r="E281" s="120">
        <v>1</v>
      </c>
      <c r="F281" s="120">
        <v>54</v>
      </c>
      <c r="G281" s="120">
        <v>2</v>
      </c>
      <c r="H281" s="120">
        <v>86</v>
      </c>
      <c r="I281" s="120">
        <v>1</v>
      </c>
    </row>
    <row r="282" spans="1:9">
      <c r="A282" s="120">
        <v>2801</v>
      </c>
      <c r="B282" s="120" t="s">
        <v>975</v>
      </c>
      <c r="C282" s="120">
        <v>3000</v>
      </c>
      <c r="D282" s="120">
        <v>160</v>
      </c>
      <c r="E282" s="120">
        <v>1</v>
      </c>
      <c r="F282" s="120">
        <v>58</v>
      </c>
      <c r="G282" s="120">
        <v>2</v>
      </c>
      <c r="H282" s="120">
        <v>92</v>
      </c>
      <c r="I282" s="120">
        <v>1</v>
      </c>
    </row>
    <row r="283" spans="1:9">
      <c r="A283" s="120">
        <v>3001</v>
      </c>
      <c r="B283" s="120" t="s">
        <v>939</v>
      </c>
      <c r="C283" s="120">
        <v>3200</v>
      </c>
      <c r="D283" s="120">
        <v>170</v>
      </c>
      <c r="E283" s="120">
        <v>1</v>
      </c>
      <c r="F283" s="120">
        <v>62</v>
      </c>
      <c r="G283" s="120">
        <v>2</v>
      </c>
      <c r="H283" s="120">
        <v>98</v>
      </c>
      <c r="I283" s="120">
        <v>1</v>
      </c>
    </row>
    <row r="284" spans="1:9">
      <c r="A284" s="120">
        <v>3201</v>
      </c>
      <c r="B284" s="120" t="s">
        <v>940</v>
      </c>
      <c r="C284" s="120">
        <v>3400</v>
      </c>
      <c r="D284" s="120">
        <v>180</v>
      </c>
      <c r="E284" s="120">
        <v>1</v>
      </c>
      <c r="F284" s="120">
        <v>66</v>
      </c>
      <c r="G284" s="120">
        <v>2</v>
      </c>
      <c r="H284" s="120">
        <v>104</v>
      </c>
      <c r="I284" s="120">
        <v>1</v>
      </c>
    </row>
    <row r="285" spans="1:9">
      <c r="A285" s="120">
        <v>3401</v>
      </c>
      <c r="B285" s="120" t="s">
        <v>1148</v>
      </c>
      <c r="C285" s="120">
        <v>3600</v>
      </c>
      <c r="D285" s="120">
        <v>190</v>
      </c>
      <c r="E285" s="120">
        <v>1</v>
      </c>
      <c r="F285" s="120">
        <v>70</v>
      </c>
      <c r="G285" s="120">
        <v>2</v>
      </c>
      <c r="H285" s="120">
        <v>110</v>
      </c>
      <c r="I285" s="120">
        <v>1</v>
      </c>
    </row>
    <row r="286" spans="1:9">
      <c r="A286" s="120">
        <v>3601</v>
      </c>
      <c r="B286" s="120" t="s">
        <v>1012</v>
      </c>
      <c r="C286" s="120">
        <v>3800</v>
      </c>
      <c r="D286" s="120">
        <v>200</v>
      </c>
      <c r="E286" s="120">
        <v>1</v>
      </c>
      <c r="F286" s="120">
        <v>74</v>
      </c>
      <c r="G286" s="120">
        <v>2</v>
      </c>
      <c r="H286" s="120">
        <v>116</v>
      </c>
      <c r="I286" s="120">
        <v>1</v>
      </c>
    </row>
    <row r="287" spans="1:9">
      <c r="A287" s="120">
        <v>3801</v>
      </c>
      <c r="B287" s="120" t="s">
        <v>398</v>
      </c>
      <c r="C287" s="120">
        <v>4000</v>
      </c>
      <c r="D287" s="120">
        <v>210</v>
      </c>
      <c r="E287" s="120">
        <v>1</v>
      </c>
      <c r="F287" s="120">
        <v>78</v>
      </c>
      <c r="G287" s="120">
        <v>2</v>
      </c>
      <c r="H287" s="120">
        <v>122</v>
      </c>
      <c r="I287" s="120">
        <v>1</v>
      </c>
    </row>
    <row r="288" spans="1:9">
      <c r="A288" s="120">
        <v>4001</v>
      </c>
      <c r="B288" s="120" t="s">
        <v>763</v>
      </c>
      <c r="C288" s="120">
        <v>4200</v>
      </c>
      <c r="D288" s="120">
        <v>220</v>
      </c>
      <c r="E288" s="120">
        <v>1</v>
      </c>
      <c r="F288" s="120">
        <v>82</v>
      </c>
      <c r="G288" s="120">
        <v>2</v>
      </c>
      <c r="H288" s="120">
        <v>128</v>
      </c>
      <c r="I288" s="120">
        <v>1</v>
      </c>
    </row>
    <row r="289" spans="1:9">
      <c r="A289" s="120">
        <v>4201</v>
      </c>
      <c r="B289" s="120" t="s">
        <v>764</v>
      </c>
      <c r="C289" s="120">
        <v>4400</v>
      </c>
      <c r="D289" s="120">
        <v>230</v>
      </c>
      <c r="E289" s="120">
        <v>1</v>
      </c>
      <c r="F289" s="120">
        <v>86</v>
      </c>
      <c r="G289" s="120">
        <v>2</v>
      </c>
      <c r="H289" s="120">
        <v>134</v>
      </c>
      <c r="I289" s="120">
        <v>1</v>
      </c>
    </row>
    <row r="290" spans="1:9">
      <c r="A290" s="120">
        <v>4401</v>
      </c>
      <c r="B290" s="120" t="s">
        <v>228</v>
      </c>
      <c r="C290" s="120">
        <v>4600</v>
      </c>
      <c r="D290" s="120">
        <v>240</v>
      </c>
      <c r="E290" s="120">
        <v>1</v>
      </c>
      <c r="F290" s="120">
        <v>90</v>
      </c>
      <c r="G290" s="120">
        <v>2</v>
      </c>
      <c r="H290" s="120">
        <v>140</v>
      </c>
      <c r="I290" s="120">
        <v>1</v>
      </c>
    </row>
    <row r="291" spans="1:9">
      <c r="A291" s="120">
        <v>4601</v>
      </c>
      <c r="B291" s="120" t="s">
        <v>229</v>
      </c>
      <c r="C291" s="120">
        <v>4800</v>
      </c>
      <c r="D291" s="120">
        <v>250</v>
      </c>
      <c r="E291" s="120">
        <v>1</v>
      </c>
      <c r="F291" s="120">
        <v>94</v>
      </c>
      <c r="G291" s="120">
        <v>2</v>
      </c>
      <c r="H291" s="120">
        <v>146</v>
      </c>
      <c r="I291" s="120">
        <v>1</v>
      </c>
    </row>
    <row r="292" spans="1:9">
      <c r="A292" s="120">
        <v>4801</v>
      </c>
      <c r="B292" s="120" t="s">
        <v>238</v>
      </c>
      <c r="C292" s="120">
        <v>5100</v>
      </c>
      <c r="D292" s="120">
        <v>270</v>
      </c>
      <c r="E292" s="120">
        <v>1</v>
      </c>
      <c r="F292" s="120">
        <v>99</v>
      </c>
      <c r="G292" s="120">
        <v>2</v>
      </c>
      <c r="H292" s="120">
        <v>156</v>
      </c>
      <c r="I292" s="120">
        <v>1</v>
      </c>
    </row>
    <row r="293" spans="1:9">
      <c r="A293" s="120">
        <v>5101</v>
      </c>
      <c r="B293" s="120" t="s">
        <v>458</v>
      </c>
      <c r="C293" s="120">
        <v>5400</v>
      </c>
      <c r="D293" s="120">
        <v>285</v>
      </c>
      <c r="E293" s="120">
        <v>1</v>
      </c>
      <c r="F293" s="120">
        <v>105</v>
      </c>
      <c r="G293" s="120">
        <v>2</v>
      </c>
      <c r="H293" s="120">
        <v>165</v>
      </c>
      <c r="I293" s="120">
        <v>1</v>
      </c>
    </row>
    <row r="294" spans="1:9">
      <c r="A294" s="120">
        <v>5401</v>
      </c>
      <c r="B294" s="120" t="s">
        <v>837</v>
      </c>
      <c r="C294" s="120">
        <v>5700</v>
      </c>
      <c r="D294" s="120">
        <v>300</v>
      </c>
      <c r="E294" s="120">
        <v>1</v>
      </c>
      <c r="F294" s="120">
        <v>111</v>
      </c>
      <c r="G294" s="120">
        <v>2</v>
      </c>
      <c r="H294" s="120">
        <v>174</v>
      </c>
      <c r="I294" s="120">
        <v>1</v>
      </c>
    </row>
    <row r="295" spans="1:9">
      <c r="A295" s="120">
        <v>5701</v>
      </c>
      <c r="B295" s="120" t="s">
        <v>346</v>
      </c>
      <c r="C295" s="120">
        <v>6000</v>
      </c>
      <c r="D295" s="120">
        <v>315</v>
      </c>
      <c r="E295" s="120">
        <v>1</v>
      </c>
      <c r="F295" s="120">
        <v>117</v>
      </c>
      <c r="G295" s="120">
        <v>2</v>
      </c>
      <c r="H295" s="120">
        <v>183</v>
      </c>
      <c r="I295" s="120">
        <v>1</v>
      </c>
    </row>
    <row r="296" spans="1:9">
      <c r="A296" s="120">
        <v>6001</v>
      </c>
      <c r="B296" s="120" t="s">
        <v>347</v>
      </c>
      <c r="C296" s="120">
        <v>6300</v>
      </c>
      <c r="D296" s="120">
        <v>330</v>
      </c>
      <c r="E296" s="120">
        <v>1</v>
      </c>
      <c r="F296" s="120">
        <v>123</v>
      </c>
      <c r="G296" s="120">
        <v>2</v>
      </c>
      <c r="H296" s="120">
        <v>192</v>
      </c>
      <c r="I296" s="120">
        <v>1</v>
      </c>
    </row>
    <row r="297" spans="1:9">
      <c r="A297" s="120">
        <v>6301</v>
      </c>
      <c r="B297" s="120" t="s">
        <v>348</v>
      </c>
      <c r="C297" s="120">
        <v>6600</v>
      </c>
      <c r="D297" s="120">
        <v>345</v>
      </c>
      <c r="E297" s="120">
        <v>1</v>
      </c>
      <c r="F297" s="120">
        <v>129</v>
      </c>
      <c r="G297" s="120">
        <v>2</v>
      </c>
      <c r="H297" s="120">
        <v>201</v>
      </c>
      <c r="I297" s="120">
        <v>1</v>
      </c>
    </row>
    <row r="298" spans="1:9">
      <c r="A298" s="120">
        <v>6601</v>
      </c>
      <c r="B298" s="120" t="s">
        <v>349</v>
      </c>
      <c r="C298" s="120">
        <v>6900</v>
      </c>
      <c r="D298" s="120">
        <v>360</v>
      </c>
      <c r="E298" s="120">
        <v>1</v>
      </c>
      <c r="F298" s="120">
        <v>135</v>
      </c>
      <c r="G298" s="120">
        <v>2</v>
      </c>
      <c r="H298" s="120">
        <v>210</v>
      </c>
      <c r="I298" s="120">
        <v>1</v>
      </c>
    </row>
    <row r="299" spans="1:9">
      <c r="A299" s="120">
        <v>6901</v>
      </c>
      <c r="B299" s="120" t="s">
        <v>350</v>
      </c>
      <c r="C299" s="120">
        <v>7200</v>
      </c>
      <c r="D299" s="120">
        <v>375</v>
      </c>
      <c r="E299" s="120">
        <v>1</v>
      </c>
      <c r="F299" s="120">
        <v>141</v>
      </c>
      <c r="G299" s="120">
        <v>2</v>
      </c>
      <c r="H299" s="120">
        <v>219</v>
      </c>
      <c r="I299" s="120">
        <v>1</v>
      </c>
    </row>
    <row r="300" spans="1:9">
      <c r="A300" s="120">
        <v>7201</v>
      </c>
      <c r="B300" s="120" t="s">
        <v>538</v>
      </c>
      <c r="C300" s="120">
        <v>7600</v>
      </c>
      <c r="D300" s="120">
        <v>400</v>
      </c>
      <c r="E300" s="120">
        <v>1</v>
      </c>
      <c r="F300" s="120">
        <v>148</v>
      </c>
      <c r="G300" s="120">
        <v>2</v>
      </c>
      <c r="H300" s="120">
        <v>232</v>
      </c>
      <c r="I300" s="120">
        <v>1</v>
      </c>
    </row>
    <row r="301" spans="1:9">
      <c r="A301" s="120">
        <v>7601</v>
      </c>
      <c r="B301" s="120" t="s">
        <v>704</v>
      </c>
      <c r="C301" s="120">
        <v>8000</v>
      </c>
      <c r="D301" s="120">
        <v>420</v>
      </c>
      <c r="E301" s="120">
        <v>1</v>
      </c>
      <c r="F301" s="120">
        <v>156</v>
      </c>
      <c r="G301" s="120">
        <v>2</v>
      </c>
      <c r="H301" s="120">
        <v>244</v>
      </c>
      <c r="I301" s="120">
        <v>1</v>
      </c>
    </row>
    <row r="302" spans="1:9">
      <c r="A302" s="120">
        <v>8001</v>
      </c>
      <c r="B302" s="120" t="s">
        <v>1001</v>
      </c>
      <c r="C302" s="120">
        <v>8400</v>
      </c>
      <c r="D302" s="120">
        <v>440</v>
      </c>
      <c r="E302" s="120">
        <v>1</v>
      </c>
      <c r="F302" s="120">
        <v>164</v>
      </c>
      <c r="G302" s="120">
        <v>2</v>
      </c>
      <c r="H302" s="120">
        <v>256</v>
      </c>
      <c r="I302" s="120">
        <v>1</v>
      </c>
    </row>
    <row r="303" spans="1:9">
      <c r="A303" s="120">
        <v>8401</v>
      </c>
      <c r="B303" s="120" t="s">
        <v>301</v>
      </c>
      <c r="C303" s="120">
        <v>8800</v>
      </c>
      <c r="D303" s="120">
        <v>460</v>
      </c>
      <c r="E303" s="120">
        <v>1</v>
      </c>
      <c r="F303" s="120">
        <v>172</v>
      </c>
      <c r="G303" s="120">
        <v>2</v>
      </c>
      <c r="H303" s="120">
        <v>268</v>
      </c>
      <c r="I303" s="120">
        <v>1</v>
      </c>
    </row>
    <row r="304" spans="1:9">
      <c r="A304" s="120">
        <v>8801</v>
      </c>
      <c r="B304" s="120" t="s">
        <v>302</v>
      </c>
      <c r="C304" s="120">
        <v>9200</v>
      </c>
      <c r="D304" s="120">
        <v>480</v>
      </c>
      <c r="E304" s="120">
        <v>1</v>
      </c>
      <c r="F304" s="120">
        <v>180</v>
      </c>
      <c r="G304" s="120">
        <v>2</v>
      </c>
      <c r="H304" s="120">
        <v>280</v>
      </c>
      <c r="I304" s="120">
        <v>1</v>
      </c>
    </row>
    <row r="305" spans="1:9">
      <c r="A305" s="120">
        <v>9201</v>
      </c>
      <c r="B305" s="120" t="s">
        <v>303</v>
      </c>
      <c r="C305" s="120">
        <v>9600</v>
      </c>
      <c r="D305" s="120">
        <v>500</v>
      </c>
      <c r="E305" s="120">
        <v>1</v>
      </c>
      <c r="F305" s="120">
        <v>188</v>
      </c>
      <c r="G305" s="120">
        <v>2</v>
      </c>
      <c r="H305" s="120">
        <v>292</v>
      </c>
      <c r="I305" s="120">
        <v>1</v>
      </c>
    </row>
    <row r="306" spans="1:9">
      <c r="A306" s="120">
        <v>9601</v>
      </c>
      <c r="B306" s="120" t="s">
        <v>304</v>
      </c>
      <c r="C306" s="120">
        <v>10000</v>
      </c>
      <c r="D306" s="120">
        <v>525</v>
      </c>
      <c r="E306" s="120">
        <v>1</v>
      </c>
      <c r="F306" s="120">
        <v>195</v>
      </c>
      <c r="G306" s="120">
        <v>2</v>
      </c>
      <c r="H306" s="120">
        <v>305</v>
      </c>
      <c r="I306" s="120">
        <v>1</v>
      </c>
    </row>
    <row r="307" spans="1:9">
      <c r="A307" s="120">
        <v>10001</v>
      </c>
      <c r="B307" s="120" t="s">
        <v>884</v>
      </c>
      <c r="C307" s="120">
        <v>10500</v>
      </c>
      <c r="D307" s="120">
        <v>550</v>
      </c>
      <c r="E307" s="120">
        <v>1</v>
      </c>
      <c r="F307" s="120">
        <v>205</v>
      </c>
      <c r="G307" s="120">
        <v>2</v>
      </c>
      <c r="H307" s="120">
        <v>320</v>
      </c>
      <c r="I307" s="120">
        <v>1</v>
      </c>
    </row>
    <row r="308" spans="1:9">
      <c r="A308" s="120">
        <v>10501</v>
      </c>
      <c r="B308" s="120" t="s">
        <v>612</v>
      </c>
      <c r="C308" s="120">
        <v>11000</v>
      </c>
      <c r="D308" s="120">
        <v>575</v>
      </c>
      <c r="E308" s="120">
        <v>1</v>
      </c>
      <c r="F308" s="120">
        <v>215</v>
      </c>
      <c r="G308" s="120">
        <v>2</v>
      </c>
      <c r="H308" s="120">
        <v>335</v>
      </c>
      <c r="I308" s="120">
        <v>1</v>
      </c>
    </row>
    <row r="309" spans="1:9">
      <c r="A309" s="120">
        <v>11001</v>
      </c>
      <c r="B309" s="120" t="s">
        <v>583</v>
      </c>
      <c r="C309" s="120">
        <v>11500</v>
      </c>
      <c r="D309" s="120">
        <v>600</v>
      </c>
      <c r="E309" s="120">
        <v>1</v>
      </c>
      <c r="F309" s="120">
        <v>225</v>
      </c>
      <c r="G309" s="120">
        <v>2</v>
      </c>
      <c r="H309" s="120">
        <v>350</v>
      </c>
      <c r="I309" s="120">
        <v>1</v>
      </c>
    </row>
    <row r="310" spans="1:9">
      <c r="A310" s="120">
        <v>11501</v>
      </c>
      <c r="B310" s="120" t="s">
        <v>584</v>
      </c>
      <c r="C310" s="120">
        <v>12000</v>
      </c>
      <c r="D310" s="120">
        <v>625</v>
      </c>
      <c r="E310" s="120">
        <v>1</v>
      </c>
      <c r="F310" s="120">
        <v>235</v>
      </c>
      <c r="G310" s="120">
        <v>2</v>
      </c>
      <c r="H310" s="120">
        <v>365</v>
      </c>
      <c r="I310" s="120">
        <v>1</v>
      </c>
    </row>
    <row r="311" spans="1:9">
      <c r="A311" s="120">
        <v>12001</v>
      </c>
      <c r="B311" s="120" t="s">
        <v>379</v>
      </c>
      <c r="C311" s="120">
        <v>12600</v>
      </c>
      <c r="D311" s="120">
        <v>660</v>
      </c>
      <c r="E311" s="120">
        <v>1</v>
      </c>
      <c r="F311" s="120">
        <v>246</v>
      </c>
      <c r="G311" s="120">
        <v>2</v>
      </c>
      <c r="H311" s="120">
        <v>384</v>
      </c>
      <c r="I311" s="120">
        <v>1</v>
      </c>
    </row>
    <row r="312" spans="1:9">
      <c r="A312" s="120">
        <v>12601</v>
      </c>
      <c r="B312" s="120" t="s">
        <v>553</v>
      </c>
      <c r="C312" s="120">
        <v>13200</v>
      </c>
      <c r="D312" s="120">
        <v>690</v>
      </c>
      <c r="E312" s="120">
        <v>1</v>
      </c>
      <c r="F312" s="120">
        <v>258</v>
      </c>
      <c r="G312" s="120">
        <v>2</v>
      </c>
      <c r="H312" s="120">
        <v>402</v>
      </c>
      <c r="I312" s="120">
        <v>1</v>
      </c>
    </row>
    <row r="313" spans="1:9">
      <c r="A313" s="120">
        <v>13201</v>
      </c>
      <c r="B313" s="120" t="s">
        <v>554</v>
      </c>
      <c r="C313" s="120">
        <v>13800</v>
      </c>
      <c r="D313" s="120">
        <v>720</v>
      </c>
      <c r="E313" s="120">
        <v>1</v>
      </c>
      <c r="F313" s="120">
        <v>270</v>
      </c>
      <c r="G313" s="120">
        <v>2</v>
      </c>
      <c r="H313" s="120">
        <v>420</v>
      </c>
      <c r="I313" s="120">
        <v>1</v>
      </c>
    </row>
    <row r="314" spans="1:9">
      <c r="A314" s="120">
        <v>13801</v>
      </c>
      <c r="B314" s="120" t="s">
        <v>555</v>
      </c>
      <c r="C314" s="120">
        <v>14400</v>
      </c>
      <c r="D314" s="120">
        <v>750</v>
      </c>
      <c r="E314" s="120">
        <v>1</v>
      </c>
      <c r="F314" s="120">
        <v>282</v>
      </c>
      <c r="G314" s="120">
        <v>2</v>
      </c>
      <c r="H314" s="120">
        <v>438</v>
      </c>
      <c r="I314" s="120">
        <v>1</v>
      </c>
    </row>
    <row r="315" spans="1:9">
      <c r="A315" s="120">
        <v>14401</v>
      </c>
      <c r="B315" s="120" t="s">
        <v>556</v>
      </c>
      <c r="C315" s="120">
        <v>14700</v>
      </c>
      <c r="D315" s="120">
        <v>770</v>
      </c>
      <c r="E315" s="120">
        <v>1</v>
      </c>
      <c r="F315" s="120">
        <v>287</v>
      </c>
      <c r="G315" s="120">
        <v>2</v>
      </c>
      <c r="H315" s="120">
        <v>448</v>
      </c>
      <c r="I315" s="120">
        <v>1</v>
      </c>
    </row>
    <row r="316" spans="1:9">
      <c r="A316" s="120">
        <v>14701</v>
      </c>
      <c r="B316" s="120" t="s">
        <v>557</v>
      </c>
      <c r="C316" s="120">
        <v>15400</v>
      </c>
      <c r="D316" s="120">
        <v>805</v>
      </c>
      <c r="E316" s="120">
        <v>1</v>
      </c>
      <c r="F316" s="120">
        <v>301</v>
      </c>
      <c r="G316" s="120">
        <v>2</v>
      </c>
      <c r="H316" s="120">
        <v>469</v>
      </c>
      <c r="I316" s="120">
        <v>1</v>
      </c>
    </row>
    <row r="317" spans="1:9">
      <c r="A317" s="120">
        <v>15401</v>
      </c>
      <c r="B317" s="120" t="s">
        <v>283</v>
      </c>
      <c r="C317" s="120">
        <v>16100</v>
      </c>
      <c r="D317" s="120">
        <v>840</v>
      </c>
      <c r="E317" s="120">
        <v>1</v>
      </c>
      <c r="F317" s="120">
        <v>315</v>
      </c>
      <c r="G317" s="120">
        <v>2</v>
      </c>
      <c r="H317" s="120">
        <v>490</v>
      </c>
      <c r="I317" s="120">
        <v>1</v>
      </c>
    </row>
    <row r="318" spans="1:9">
      <c r="A318" s="120">
        <v>16101</v>
      </c>
      <c r="B318" s="120" t="s">
        <v>585</v>
      </c>
      <c r="C318" s="120">
        <v>16800</v>
      </c>
      <c r="D318" s="120">
        <v>875</v>
      </c>
      <c r="E318" s="120">
        <v>1</v>
      </c>
      <c r="F318" s="120">
        <v>329</v>
      </c>
      <c r="G318" s="120">
        <v>2</v>
      </c>
      <c r="H318" s="120">
        <v>511</v>
      </c>
      <c r="I318" s="120">
        <v>1</v>
      </c>
    </row>
    <row r="319" spans="1:9">
      <c r="A319" s="120">
        <v>16801</v>
      </c>
      <c r="B319" s="120" t="s">
        <v>123</v>
      </c>
      <c r="C319" s="120">
        <v>17600</v>
      </c>
      <c r="D319" s="120">
        <v>920</v>
      </c>
      <c r="E319" s="120">
        <v>1</v>
      </c>
      <c r="F319" s="120">
        <v>344</v>
      </c>
      <c r="G319" s="120">
        <v>2</v>
      </c>
      <c r="H319" s="120">
        <v>536</v>
      </c>
      <c r="I319" s="120">
        <v>1</v>
      </c>
    </row>
    <row r="320" spans="1:9">
      <c r="A320" s="120">
        <v>17601</v>
      </c>
      <c r="B320" s="120" t="s">
        <v>293</v>
      </c>
      <c r="C320" s="120">
        <v>18400</v>
      </c>
      <c r="D320" s="120">
        <v>960</v>
      </c>
      <c r="E320" s="120">
        <v>1</v>
      </c>
      <c r="F320" s="120">
        <v>360</v>
      </c>
      <c r="G320" s="120">
        <v>2</v>
      </c>
      <c r="H320" s="120">
        <v>560</v>
      </c>
      <c r="I320" s="120">
        <v>1</v>
      </c>
    </row>
    <row r="321" spans="1:9">
      <c r="A321" s="120">
        <v>18401</v>
      </c>
      <c r="B321" s="120" t="s">
        <v>759</v>
      </c>
      <c r="C321" s="120">
        <v>19200</v>
      </c>
      <c r="D321" s="120">
        <v>1000</v>
      </c>
      <c r="E321" s="120">
        <v>1</v>
      </c>
      <c r="F321" s="120">
        <v>376</v>
      </c>
      <c r="G321" s="120">
        <v>2</v>
      </c>
      <c r="H321" s="120">
        <v>584</v>
      </c>
      <c r="I321" s="120">
        <v>1</v>
      </c>
    </row>
    <row r="322" spans="1:9">
      <c r="A322" s="120">
        <v>19201</v>
      </c>
      <c r="B322" s="120" t="s">
        <v>395</v>
      </c>
      <c r="C322" s="120">
        <v>19800</v>
      </c>
      <c r="D322" s="120">
        <v>1035</v>
      </c>
      <c r="E322" s="120">
        <v>1</v>
      </c>
      <c r="F322" s="120">
        <v>387</v>
      </c>
      <c r="G322" s="120">
        <v>2</v>
      </c>
      <c r="H322" s="120">
        <v>603</v>
      </c>
      <c r="I322" s="120">
        <v>1</v>
      </c>
    </row>
    <row r="323" spans="1:9">
      <c r="A323" s="120">
        <v>19801</v>
      </c>
      <c r="B323" s="120" t="s">
        <v>242</v>
      </c>
      <c r="C323" s="120">
        <v>20700</v>
      </c>
      <c r="D323" s="120">
        <v>1080</v>
      </c>
      <c r="E323" s="120">
        <v>1</v>
      </c>
      <c r="F323" s="120">
        <v>405</v>
      </c>
      <c r="G323" s="120">
        <v>2</v>
      </c>
      <c r="H323" s="120">
        <v>630</v>
      </c>
      <c r="I323" s="120">
        <v>1</v>
      </c>
    </row>
    <row r="324" spans="1:9">
      <c r="A324" s="120">
        <v>20701</v>
      </c>
      <c r="B324" s="120" t="s">
        <v>154</v>
      </c>
      <c r="C324" s="120">
        <v>21600</v>
      </c>
      <c r="D324" s="120">
        <v>1125</v>
      </c>
      <c r="E324" s="120">
        <v>1</v>
      </c>
      <c r="F324" s="120">
        <v>423</v>
      </c>
      <c r="G324" s="120">
        <v>2</v>
      </c>
      <c r="H324" s="120">
        <v>657</v>
      </c>
      <c r="I324" s="120">
        <v>1</v>
      </c>
    </row>
    <row r="325" spans="1:9">
      <c r="A325" s="120">
        <f>C324+1</f>
        <v>21601</v>
      </c>
      <c r="B325" s="120" t="str">
        <f>"-"</f>
        <v>-</v>
      </c>
      <c r="C325" s="120">
        <v>-1</v>
      </c>
      <c r="D325" s="120">
        <v>-1</v>
      </c>
      <c r="E325" s="120">
        <v>1</v>
      </c>
      <c r="F325" s="120">
        <v>-1</v>
      </c>
      <c r="G325" s="120">
        <v>2</v>
      </c>
      <c r="H325" s="120">
        <v>-1</v>
      </c>
      <c r="I325" s="120">
        <v>1</v>
      </c>
    </row>
    <row r="328" spans="1:9">
      <c r="A328" s="94" t="s">
        <v>102</v>
      </c>
      <c r="C328" s="128" t="s">
        <v>702</v>
      </c>
      <c r="D328" s="128" t="s">
        <v>1044</v>
      </c>
      <c r="E328" s="128" t="s">
        <v>703</v>
      </c>
      <c r="F328" s="128" t="s">
        <v>944</v>
      </c>
      <c r="G328" s="128" t="s">
        <v>323</v>
      </c>
    </row>
    <row r="329" spans="1:9">
      <c r="A329" s="120">
        <v>-99999</v>
      </c>
      <c r="B329" s="120" t="s">
        <v>1035</v>
      </c>
      <c r="C329" s="120">
        <v>1E-3</v>
      </c>
      <c r="D329" s="120">
        <v>140</v>
      </c>
      <c r="E329" s="120">
        <v>1</v>
      </c>
      <c r="F329" s="120">
        <v>0</v>
      </c>
      <c r="G329" s="134">
        <v>0.5</v>
      </c>
      <c r="I329" s="120" t="s">
        <v>725</v>
      </c>
    </row>
    <row r="330" spans="1:9">
      <c r="A330" s="120">
        <v>0</v>
      </c>
      <c r="B330" s="120" t="s">
        <v>420</v>
      </c>
      <c r="C330" s="120">
        <v>0.01</v>
      </c>
      <c r="D330" s="120">
        <v>80</v>
      </c>
      <c r="E330" s="120">
        <v>1</v>
      </c>
      <c r="F330" s="120">
        <v>-3</v>
      </c>
      <c r="G330" s="120">
        <v>1</v>
      </c>
    </row>
    <row r="331" spans="1:9">
      <c r="A331" s="120">
        <v>1</v>
      </c>
      <c r="B331" s="120" t="s">
        <v>367</v>
      </c>
      <c r="C331" s="120">
        <v>0</v>
      </c>
      <c r="D331" s="120">
        <v>100</v>
      </c>
      <c r="E331" s="120">
        <v>0</v>
      </c>
      <c r="F331" s="120">
        <v>0</v>
      </c>
      <c r="G331" s="120">
        <v>1</v>
      </c>
    </row>
    <row r="332" spans="1:9">
      <c r="A332" s="120">
        <v>2</v>
      </c>
      <c r="B332" s="120" t="s">
        <v>138</v>
      </c>
      <c r="C332" s="120">
        <v>0</v>
      </c>
      <c r="D332" s="120">
        <v>0</v>
      </c>
      <c r="E332" s="120">
        <v>0</v>
      </c>
      <c r="F332" s="120">
        <v>0</v>
      </c>
      <c r="G332" s="120">
        <v>1</v>
      </c>
    </row>
    <row r="335" spans="1:9">
      <c r="A335" s="94" t="s">
        <v>370</v>
      </c>
      <c r="B335" s="128" t="s">
        <v>1137</v>
      </c>
    </row>
    <row r="336" spans="1:9">
      <c r="A336" s="120" t="s">
        <v>31</v>
      </c>
      <c r="B336" s="120">
        <v>0.5</v>
      </c>
    </row>
    <row r="337" spans="1:6">
      <c r="A337" s="120" t="s">
        <v>58</v>
      </c>
      <c r="B337" s="120">
        <v>1</v>
      </c>
    </row>
    <row r="338" spans="1:6">
      <c r="A338" s="120" t="s">
        <v>1060</v>
      </c>
      <c r="B338" s="120">
        <v>1.5</v>
      </c>
    </row>
    <row r="339" spans="1:6">
      <c r="A339" s="120" t="s">
        <v>202</v>
      </c>
      <c r="B339" s="120">
        <v>2</v>
      </c>
    </row>
    <row r="342" spans="1:6">
      <c r="A342" s="120" t="s">
        <v>1019</v>
      </c>
      <c r="B342" s="128" t="s">
        <v>922</v>
      </c>
      <c r="C342" s="128" t="s">
        <v>729</v>
      </c>
      <c r="D342" s="128" t="s">
        <v>1064</v>
      </c>
      <c r="E342" s="128" t="s">
        <v>620</v>
      </c>
      <c r="F342" s="128" t="s">
        <v>885</v>
      </c>
    </row>
    <row r="343" spans="1:6">
      <c r="A343" s="120">
        <v>0</v>
      </c>
      <c r="B343" s="120">
        <v>-1</v>
      </c>
      <c r="C343" s="120">
        <v>0</v>
      </c>
      <c r="D343" s="120">
        <v>0</v>
      </c>
      <c r="E343" s="120">
        <v>0</v>
      </c>
      <c r="F343" s="120">
        <v>0</v>
      </c>
    </row>
    <row r="344" spans="1:6">
      <c r="A344" s="120">
        <v>8</v>
      </c>
      <c r="B344" s="120">
        <v>0</v>
      </c>
      <c r="C344" s="120">
        <v>0.5</v>
      </c>
      <c r="D344" s="120">
        <v>0.1</v>
      </c>
      <c r="E344" s="120">
        <v>0.5</v>
      </c>
      <c r="F344" s="120">
        <v>0</v>
      </c>
    </row>
    <row r="345" spans="1:6">
      <c r="A345" s="120">
        <v>9</v>
      </c>
      <c r="B345" s="120">
        <v>1</v>
      </c>
      <c r="C345" s="120">
        <v>1</v>
      </c>
      <c r="D345" s="120">
        <v>1.5</v>
      </c>
      <c r="E345" s="120">
        <v>3</v>
      </c>
      <c r="F345" s="120">
        <v>1</v>
      </c>
    </row>
    <row r="346" spans="1:6">
      <c r="A346" s="120">
        <v>10</v>
      </c>
      <c r="B346" s="120">
        <v>2</v>
      </c>
      <c r="C346" s="120">
        <v>2</v>
      </c>
      <c r="D346" s="120">
        <v>5</v>
      </c>
      <c r="E346" s="120">
        <v>7.5</v>
      </c>
      <c r="F346" s="120">
        <v>2</v>
      </c>
    </row>
    <row r="347" spans="1:6">
      <c r="A347" s="120">
        <v>11</v>
      </c>
      <c r="B347" s="120">
        <v>3</v>
      </c>
      <c r="C347" s="120">
        <v>3</v>
      </c>
      <c r="D347" s="120">
        <v>10.5</v>
      </c>
      <c r="E347" s="120">
        <v>14</v>
      </c>
      <c r="F347" s="120">
        <v>3</v>
      </c>
    </row>
    <row r="348" spans="1:6">
      <c r="A348" s="120">
        <v>12</v>
      </c>
      <c r="B348" s="120">
        <v>4</v>
      </c>
      <c r="C348" s="120">
        <v>4</v>
      </c>
      <c r="D348" s="120">
        <v>18</v>
      </c>
      <c r="E348" s="120">
        <v>22</v>
      </c>
      <c r="F348" s="120">
        <v>4</v>
      </c>
    </row>
    <row r="349" spans="1:6">
      <c r="A349" s="120">
        <v>13</v>
      </c>
      <c r="B349" s="120">
        <v>5</v>
      </c>
      <c r="C349" s="120">
        <v>5</v>
      </c>
      <c r="D349" s="120">
        <v>27</v>
      </c>
      <c r="E349" s="120">
        <v>33</v>
      </c>
      <c r="F349" s="120">
        <v>5</v>
      </c>
    </row>
    <row r="350" spans="1:6">
      <c r="A350" s="120">
        <v>14</v>
      </c>
      <c r="B350" s="120">
        <v>6</v>
      </c>
      <c r="C350" s="120">
        <v>6</v>
      </c>
      <c r="D350" s="120">
        <v>39</v>
      </c>
      <c r="E350" s="120">
        <v>45</v>
      </c>
      <c r="F350" s="120">
        <v>6</v>
      </c>
    </row>
    <row r="351" spans="1:6">
      <c r="A351" s="120">
        <v>15</v>
      </c>
      <c r="B351" s="120">
        <v>7</v>
      </c>
      <c r="C351" s="120">
        <v>7</v>
      </c>
      <c r="D351" s="120">
        <v>52</v>
      </c>
      <c r="E351" s="120">
        <v>60</v>
      </c>
      <c r="F351" s="120">
        <v>7</v>
      </c>
    </row>
    <row r="352" spans="1:6">
      <c r="A352" s="120">
        <v>16</v>
      </c>
      <c r="B352" s="120">
        <v>8</v>
      </c>
      <c r="C352" s="120">
        <v>8</v>
      </c>
      <c r="D352" s="120">
        <v>68</v>
      </c>
      <c r="E352" s="120">
        <v>76</v>
      </c>
      <c r="F352" s="120">
        <v>8</v>
      </c>
    </row>
    <row r="353" spans="1:12">
      <c r="A353" s="120">
        <v>17</v>
      </c>
      <c r="B353" s="120">
        <v>9</v>
      </c>
      <c r="C353" s="120">
        <v>9</v>
      </c>
      <c r="D353" s="120">
        <v>85</v>
      </c>
      <c r="E353" s="120">
        <v>95</v>
      </c>
      <c r="F353" s="120">
        <v>9</v>
      </c>
    </row>
    <row r="356" spans="1:12">
      <c r="A356" s="94" t="s">
        <v>715</v>
      </c>
      <c r="B356" s="128" t="s">
        <v>1131</v>
      </c>
      <c r="C356" s="128" t="s">
        <v>165</v>
      </c>
      <c r="D356" s="128" t="s">
        <v>256</v>
      </c>
      <c r="E356" s="128" t="s">
        <v>166</v>
      </c>
      <c r="F356" s="128" t="s">
        <v>352</v>
      </c>
      <c r="G356" s="128" t="s">
        <v>1132</v>
      </c>
      <c r="H356" s="128" t="s">
        <v>716</v>
      </c>
      <c r="L356" s="94" t="s">
        <v>170</v>
      </c>
    </row>
    <row r="357" spans="1:12">
      <c r="A357" s="120" t="s">
        <v>1134</v>
      </c>
      <c r="B357" s="120">
        <v>0</v>
      </c>
      <c r="C357" s="120">
        <v>0</v>
      </c>
      <c r="D357" s="120">
        <v>0</v>
      </c>
      <c r="E357" s="120">
        <v>0</v>
      </c>
      <c r="F357" s="120">
        <v>0</v>
      </c>
      <c r="G357" s="120">
        <v>0</v>
      </c>
      <c r="H357" s="120">
        <v>0</v>
      </c>
      <c r="L357" s="120" t="s">
        <v>119</v>
      </c>
    </row>
    <row r="358" spans="1:12">
      <c r="A358" s="120" t="s">
        <v>1139</v>
      </c>
      <c r="B358" s="120">
        <v>4</v>
      </c>
      <c r="C358" s="120">
        <f xml:space="preserve"> $B358*10 + 10</f>
        <v>50</v>
      </c>
      <c r="D358" s="120">
        <f xml:space="preserve"> $B358*5 + 10</f>
        <v>30</v>
      </c>
      <c r="E358" s="120">
        <v>2</v>
      </c>
      <c r="F358" s="120">
        <v>1</v>
      </c>
      <c r="G358" s="120">
        <v>4</v>
      </c>
      <c r="H358" s="120">
        <f xml:space="preserve"> 10*(G358-2)^2</f>
        <v>40</v>
      </c>
      <c r="L358" s="120" t="s">
        <v>1050</v>
      </c>
    </row>
    <row r="359" spans="1:12">
      <c r="A359" s="120" t="s">
        <v>1140</v>
      </c>
      <c r="B359" s="120">
        <v>8</v>
      </c>
      <c r="C359" s="120">
        <f xml:space="preserve"> $B359*20 + 10</f>
        <v>170</v>
      </c>
      <c r="D359" s="120">
        <f xml:space="preserve"> $B359*20 + 10</f>
        <v>170</v>
      </c>
      <c r="E359" s="120">
        <v>4</v>
      </c>
      <c r="F359" s="120">
        <v>2</v>
      </c>
      <c r="G359" s="120">
        <v>8</v>
      </c>
      <c r="H359" s="120">
        <f t="shared" ref="H359:H362" si="26" xml:space="preserve"> 10*(G359-2)^2</f>
        <v>360</v>
      </c>
    </row>
    <row r="360" spans="1:12">
      <c r="A360" s="120" t="s">
        <v>55</v>
      </c>
      <c r="B360" s="120">
        <v>10</v>
      </c>
      <c r="C360" s="120">
        <f t="shared" ref="C360:D361" si="27" xml:space="preserve"> $B360*20 + 10</f>
        <v>210</v>
      </c>
      <c r="D360" s="120">
        <f t="shared" si="27"/>
        <v>210</v>
      </c>
      <c r="E360" s="120">
        <v>5</v>
      </c>
      <c r="F360" s="120">
        <v>2</v>
      </c>
      <c r="G360" s="120">
        <v>10</v>
      </c>
      <c r="H360" s="120">
        <f t="shared" si="26"/>
        <v>640</v>
      </c>
    </row>
    <row r="361" spans="1:12">
      <c r="A361" s="120" t="s">
        <v>1003</v>
      </c>
      <c r="B361" s="120">
        <v>12</v>
      </c>
      <c r="C361" s="120">
        <f t="shared" si="27"/>
        <v>250</v>
      </c>
      <c r="D361" s="120">
        <f t="shared" si="27"/>
        <v>250</v>
      </c>
      <c r="E361" s="120">
        <v>6</v>
      </c>
      <c r="F361" s="120">
        <v>3</v>
      </c>
      <c r="G361" s="120">
        <v>12</v>
      </c>
      <c r="H361" s="120">
        <f t="shared" si="26"/>
        <v>1000</v>
      </c>
    </row>
    <row r="362" spans="1:12">
      <c r="A362" s="120" t="s">
        <v>255</v>
      </c>
      <c r="B362" s="120">
        <v>14</v>
      </c>
      <c r="C362" s="120">
        <v>1000</v>
      </c>
      <c r="D362" s="120">
        <v>1000</v>
      </c>
      <c r="E362" s="120">
        <v>7</v>
      </c>
      <c r="F362" s="120">
        <v>3</v>
      </c>
      <c r="G362" s="120">
        <v>14</v>
      </c>
      <c r="H362" s="120">
        <f t="shared" si="26"/>
        <v>1440</v>
      </c>
      <c r="J362" s="120" t="s">
        <v>651</v>
      </c>
    </row>
    <row r="365" spans="1:12">
      <c r="A365" s="120" t="s">
        <v>727</v>
      </c>
      <c r="B365" s="128" t="s">
        <v>383</v>
      </c>
      <c r="C365" s="128" t="s">
        <v>193</v>
      </c>
      <c r="D365" s="128" t="s">
        <v>456</v>
      </c>
      <c r="E365" s="128" t="s">
        <v>922</v>
      </c>
      <c r="F365" s="128" t="s">
        <v>871</v>
      </c>
      <c r="G365" s="128" t="s">
        <v>642</v>
      </c>
      <c r="H365" s="128" t="s">
        <v>1037</v>
      </c>
    </row>
    <row r="366" spans="1:12">
      <c r="A366" s="120">
        <v>0</v>
      </c>
      <c r="B366" s="120">
        <v>0</v>
      </c>
      <c r="C366" s="120">
        <v>0</v>
      </c>
      <c r="D366" s="120" t="s">
        <v>533</v>
      </c>
      <c r="E366" s="120" t="s">
        <v>474</v>
      </c>
      <c r="F366" s="120" t="s">
        <v>666</v>
      </c>
      <c r="G366" s="120">
        <v>0</v>
      </c>
      <c r="H366" s="120">
        <v>0</v>
      </c>
    </row>
    <row r="367" spans="1:12">
      <c r="A367" s="120">
        <v>1</v>
      </c>
      <c r="B367" s="120">
        <v>0</v>
      </c>
      <c r="C367" s="120">
        <v>1</v>
      </c>
      <c r="D367" s="120" t="s">
        <v>791</v>
      </c>
      <c r="E367" s="120" t="s">
        <v>474</v>
      </c>
      <c r="F367" s="120" t="s">
        <v>1098</v>
      </c>
      <c r="G367" s="120">
        <v>0</v>
      </c>
      <c r="H367" s="120" t="s">
        <v>1096</v>
      </c>
    </row>
    <row r="368" spans="1:12">
      <c r="A368" s="120">
        <v>2</v>
      </c>
      <c r="B368" s="120">
        <v>0</v>
      </c>
      <c r="C368" s="120">
        <v>2</v>
      </c>
      <c r="D368" s="120" t="s">
        <v>1091</v>
      </c>
      <c r="E368" s="120" t="s">
        <v>474</v>
      </c>
      <c r="F368" s="120" t="s">
        <v>726</v>
      </c>
      <c r="G368" s="120">
        <v>0</v>
      </c>
      <c r="H368" s="120" t="s">
        <v>18</v>
      </c>
    </row>
    <row r="369" spans="1:8">
      <c r="A369" s="120">
        <v>3</v>
      </c>
      <c r="B369" s="120">
        <v>0</v>
      </c>
      <c r="C369" s="120">
        <v>3</v>
      </c>
      <c r="D369" s="120" t="s">
        <v>724</v>
      </c>
      <c r="E369" s="120" t="s">
        <v>474</v>
      </c>
      <c r="F369" s="120" t="s">
        <v>604</v>
      </c>
      <c r="G369" s="120">
        <v>0</v>
      </c>
      <c r="H369" s="120" t="s">
        <v>878</v>
      </c>
    </row>
    <row r="370" spans="1:8">
      <c r="A370" s="120">
        <v>4</v>
      </c>
      <c r="B370" s="120">
        <v>0</v>
      </c>
      <c r="C370" s="120">
        <v>4</v>
      </c>
      <c r="D370" s="120" t="s">
        <v>93</v>
      </c>
      <c r="E370" s="120" t="s">
        <v>474</v>
      </c>
      <c r="F370" s="120" t="s">
        <v>94</v>
      </c>
      <c r="G370" s="120">
        <v>0</v>
      </c>
      <c r="H370" s="120" t="s">
        <v>447</v>
      </c>
    </row>
    <row r="371" spans="1:8">
      <c r="A371" s="120">
        <v>5</v>
      </c>
      <c r="B371" s="120">
        <v>0</v>
      </c>
      <c r="C371" s="120">
        <v>5</v>
      </c>
      <c r="D371" s="120" t="s">
        <v>822</v>
      </c>
      <c r="E371" s="120" t="s">
        <v>474</v>
      </c>
      <c r="F371" s="120" t="s">
        <v>855</v>
      </c>
      <c r="G371" s="120">
        <v>0</v>
      </c>
      <c r="H371" s="120" t="s">
        <v>856</v>
      </c>
    </row>
    <row r="372" spans="1:8">
      <c r="A372" s="120">
        <v>6</v>
      </c>
      <c r="B372" s="120">
        <v>1</v>
      </c>
      <c r="C372" s="120">
        <v>6</v>
      </c>
      <c r="D372" s="120" t="s">
        <v>1100</v>
      </c>
      <c r="E372" s="120" t="s">
        <v>1101</v>
      </c>
      <c r="F372" s="120" t="s">
        <v>1102</v>
      </c>
      <c r="G372" s="120">
        <v>1</v>
      </c>
      <c r="H372" s="120" t="s">
        <v>13</v>
      </c>
    </row>
    <row r="373" spans="1:8">
      <c r="A373" s="120">
        <v>7</v>
      </c>
      <c r="B373" s="120">
        <v>2</v>
      </c>
      <c r="C373" s="120">
        <v>7</v>
      </c>
      <c r="D373" s="120" t="s">
        <v>503</v>
      </c>
      <c r="E373" s="120" t="s">
        <v>1101</v>
      </c>
      <c r="F373" s="120" t="s">
        <v>284</v>
      </c>
      <c r="G373" s="120">
        <v>2</v>
      </c>
      <c r="H373" s="120" t="s">
        <v>199</v>
      </c>
    </row>
    <row r="374" spans="1:8">
      <c r="A374" s="120">
        <v>8</v>
      </c>
      <c r="B374" s="120">
        <v>3</v>
      </c>
      <c r="C374" s="120">
        <v>8</v>
      </c>
      <c r="D374" s="120" t="s">
        <v>1118</v>
      </c>
      <c r="E374" s="120" t="s">
        <v>1119</v>
      </c>
      <c r="F374" s="120" t="s">
        <v>1120</v>
      </c>
      <c r="G374" s="120">
        <v>3</v>
      </c>
      <c r="H374" s="120" t="s">
        <v>903</v>
      </c>
    </row>
    <row r="375" spans="1:8">
      <c r="A375" s="120">
        <v>9</v>
      </c>
      <c r="B375" s="120">
        <v>4</v>
      </c>
      <c r="C375" s="120">
        <v>9</v>
      </c>
      <c r="D375" s="120" t="s">
        <v>460</v>
      </c>
      <c r="E375" s="120" t="s">
        <v>1119</v>
      </c>
      <c r="F375" s="120" t="s">
        <v>47</v>
      </c>
      <c r="G375" s="120">
        <v>4</v>
      </c>
      <c r="H375" s="120" t="s">
        <v>28</v>
      </c>
    </row>
    <row r="376" spans="1:8">
      <c r="A376" s="120">
        <v>10</v>
      </c>
      <c r="B376" s="120">
        <v>5</v>
      </c>
      <c r="C376" s="120">
        <v>10</v>
      </c>
      <c r="D376" s="120" t="s">
        <v>580</v>
      </c>
      <c r="E376" s="120" t="s">
        <v>1119</v>
      </c>
      <c r="F376" s="120" t="s">
        <v>91</v>
      </c>
      <c r="G376" s="120">
        <v>5</v>
      </c>
      <c r="H376" s="120" t="s">
        <v>686</v>
      </c>
    </row>
    <row r="377" spans="1:8">
      <c r="A377" s="120">
        <v>11</v>
      </c>
      <c r="B377" s="120">
        <v>6</v>
      </c>
      <c r="C377" s="120">
        <v>11</v>
      </c>
      <c r="D377" s="120" t="s">
        <v>92</v>
      </c>
      <c r="E377" s="120" t="s">
        <v>863</v>
      </c>
      <c r="F377" s="120" t="s">
        <v>688</v>
      </c>
      <c r="G377" s="120">
        <v>6</v>
      </c>
      <c r="H377" s="120" t="s">
        <v>686</v>
      </c>
    </row>
    <row r="378" spans="1:8">
      <c r="A378" s="120">
        <v>12</v>
      </c>
      <c r="B378" s="120">
        <v>7</v>
      </c>
      <c r="C378" s="120">
        <v>12</v>
      </c>
      <c r="D378" s="120" t="s">
        <v>66</v>
      </c>
      <c r="E378" s="120" t="s">
        <v>863</v>
      </c>
      <c r="F378" s="120" t="s">
        <v>1055</v>
      </c>
      <c r="G378" s="120">
        <v>7</v>
      </c>
      <c r="H378" s="120" t="s">
        <v>686</v>
      </c>
    </row>
    <row r="379" spans="1:8">
      <c r="A379" s="120">
        <v>13</v>
      </c>
      <c r="B379" s="120">
        <v>8</v>
      </c>
      <c r="C379" s="120">
        <v>13</v>
      </c>
      <c r="D379" s="120" t="s">
        <v>590</v>
      </c>
      <c r="E379" s="120" t="s">
        <v>574</v>
      </c>
      <c r="F379" s="120" t="s">
        <v>1013</v>
      </c>
      <c r="G379" s="120">
        <v>8</v>
      </c>
      <c r="H379" s="120" t="s">
        <v>686</v>
      </c>
    </row>
    <row r="380" spans="1:8">
      <c r="A380" s="120">
        <v>14</v>
      </c>
      <c r="B380" s="120">
        <v>9</v>
      </c>
      <c r="C380" s="120">
        <v>14</v>
      </c>
      <c r="D380" s="120" t="s">
        <v>23</v>
      </c>
      <c r="E380" s="120" t="s">
        <v>574</v>
      </c>
      <c r="F380" s="120" t="s">
        <v>598</v>
      </c>
      <c r="G380" s="120">
        <v>9</v>
      </c>
      <c r="H380" s="120" t="s">
        <v>686</v>
      </c>
    </row>
    <row r="381" spans="1:8">
      <c r="A381" s="120">
        <v>15</v>
      </c>
      <c r="B381" s="120">
        <v>10</v>
      </c>
      <c r="C381" s="120">
        <v>15</v>
      </c>
      <c r="D381" s="120" t="s">
        <v>706</v>
      </c>
      <c r="E381" s="120" t="s">
        <v>967</v>
      </c>
      <c r="F381" s="120" t="s">
        <v>625</v>
      </c>
      <c r="G381" s="120">
        <v>10</v>
      </c>
      <c r="H381" s="120" t="s">
        <v>686</v>
      </c>
    </row>
    <row r="382" spans="1:8">
      <c r="A382" s="120">
        <v>16</v>
      </c>
      <c r="B382" s="120">
        <v>11</v>
      </c>
      <c r="C382" s="120">
        <v>16</v>
      </c>
      <c r="D382" s="120" t="s">
        <v>904</v>
      </c>
      <c r="E382" s="120" t="s">
        <v>967</v>
      </c>
      <c r="F382" s="120" t="s">
        <v>908</v>
      </c>
      <c r="G382" s="120">
        <v>11</v>
      </c>
      <c r="H382" s="120" t="s">
        <v>686</v>
      </c>
    </row>
    <row r="383" spans="1:8">
      <c r="A383" s="120">
        <v>17</v>
      </c>
      <c r="B383" s="120">
        <v>12</v>
      </c>
      <c r="C383" s="120">
        <v>17</v>
      </c>
      <c r="D383" s="120" t="s">
        <v>559</v>
      </c>
      <c r="E383" s="120" t="s">
        <v>967</v>
      </c>
      <c r="F383" s="120" t="s">
        <v>308</v>
      </c>
      <c r="G383" s="120">
        <v>12</v>
      </c>
      <c r="H383" s="120" t="s">
        <v>686</v>
      </c>
    </row>
    <row r="384" spans="1:8">
      <c r="A384" s="120">
        <v>18</v>
      </c>
      <c r="B384" s="120">
        <v>13</v>
      </c>
      <c r="C384" s="120">
        <v>18</v>
      </c>
      <c r="D384" s="120" t="s">
        <v>1079</v>
      </c>
      <c r="E384" s="120" t="s">
        <v>967</v>
      </c>
      <c r="F384" s="120" t="s">
        <v>825</v>
      </c>
      <c r="G384" s="120">
        <v>13</v>
      </c>
      <c r="H384" s="120" t="s">
        <v>686</v>
      </c>
    </row>
    <row r="387" spans="1:12">
      <c r="A387" s="128" t="s">
        <v>270</v>
      </c>
      <c r="B387" s="120" t="s">
        <v>60</v>
      </c>
      <c r="C387" s="128" t="s">
        <v>270</v>
      </c>
      <c r="D387" s="128" t="s">
        <v>193</v>
      </c>
      <c r="E387" s="128" t="s">
        <v>61</v>
      </c>
      <c r="F387" s="128" t="s">
        <v>383</v>
      </c>
      <c r="G387" s="128" t="s">
        <v>947</v>
      </c>
      <c r="H387" s="128" t="s">
        <v>729</v>
      </c>
      <c r="I387" s="128" t="s">
        <v>1064</v>
      </c>
      <c r="J387" s="128" t="s">
        <v>1108</v>
      </c>
      <c r="K387" s="128" t="s">
        <v>917</v>
      </c>
      <c r="L387" s="128" t="s">
        <v>918</v>
      </c>
    </row>
    <row r="388" spans="1:12">
      <c r="A388" s="120">
        <v>-100</v>
      </c>
      <c r="B388" s="120" t="s">
        <v>570</v>
      </c>
      <c r="C388" s="120">
        <v>-2</v>
      </c>
      <c r="D388" s="120">
        <v>5</v>
      </c>
      <c r="E388" s="120">
        <v>-2</v>
      </c>
      <c r="F388" s="120">
        <v>0</v>
      </c>
      <c r="G388" s="120">
        <v>-7</v>
      </c>
      <c r="H388" s="134">
        <v>0.3333334</v>
      </c>
      <c r="I388" s="134">
        <v>0.3333334</v>
      </c>
      <c r="J388" s="120">
        <v>-3</v>
      </c>
      <c r="K388" s="134">
        <v>0.25</v>
      </c>
      <c r="L388" s="134">
        <v>0.25</v>
      </c>
    </row>
    <row r="389" spans="1:12">
      <c r="A389" s="120">
        <v>-2</v>
      </c>
      <c r="B389" s="120" t="s">
        <v>994</v>
      </c>
      <c r="C389" s="120">
        <v>-2</v>
      </c>
      <c r="D389" s="120">
        <v>5</v>
      </c>
      <c r="E389" s="120">
        <v>-2</v>
      </c>
      <c r="F389" s="120">
        <v>2</v>
      </c>
      <c r="G389" s="120">
        <v>-3</v>
      </c>
      <c r="H389" s="134">
        <v>0.3333334</v>
      </c>
      <c r="I389" s="134">
        <v>0.3333334</v>
      </c>
      <c r="J389" s="120">
        <v>-2</v>
      </c>
      <c r="K389" s="134">
        <v>0.3333334</v>
      </c>
      <c r="L389" s="134">
        <v>0.3333334</v>
      </c>
    </row>
    <row r="390" spans="1:12">
      <c r="A390" s="120">
        <v>-1</v>
      </c>
      <c r="B390" s="120" t="s">
        <v>543</v>
      </c>
      <c r="C390" s="120">
        <v>-1</v>
      </c>
      <c r="D390" s="120">
        <v>6</v>
      </c>
      <c r="E390" s="120">
        <v>-1</v>
      </c>
      <c r="F390" s="120">
        <v>5</v>
      </c>
      <c r="G390" s="120">
        <v>-2</v>
      </c>
      <c r="H390" s="134">
        <v>0.5</v>
      </c>
      <c r="I390" s="134">
        <v>0.5</v>
      </c>
      <c r="J390" s="120">
        <v>-1</v>
      </c>
      <c r="K390" s="134">
        <v>0.5</v>
      </c>
      <c r="L390" s="134">
        <v>0.5</v>
      </c>
    </row>
    <row r="391" spans="1:12">
      <c r="A391" s="120">
        <v>0</v>
      </c>
      <c r="B391" s="120" t="s">
        <v>99</v>
      </c>
      <c r="C391" s="120">
        <v>0</v>
      </c>
      <c r="D391" s="120">
        <v>7</v>
      </c>
      <c r="E391" s="120">
        <v>0</v>
      </c>
      <c r="F391" s="120">
        <v>7</v>
      </c>
      <c r="G391" s="120">
        <v>0</v>
      </c>
      <c r="H391" s="134">
        <v>1</v>
      </c>
      <c r="I391" s="134">
        <v>1</v>
      </c>
      <c r="J391" s="120">
        <v>0</v>
      </c>
      <c r="K391" s="134">
        <v>1</v>
      </c>
      <c r="L391" s="134">
        <v>1</v>
      </c>
    </row>
    <row r="392" spans="1:12">
      <c r="A392" s="120">
        <v>1</v>
      </c>
      <c r="B392" s="120" t="s">
        <v>552</v>
      </c>
      <c r="C392" s="120">
        <v>1</v>
      </c>
      <c r="D392" s="120">
        <v>8</v>
      </c>
      <c r="E392" s="120">
        <v>1</v>
      </c>
      <c r="F392" s="120">
        <v>9</v>
      </c>
      <c r="G392" s="120">
        <v>2</v>
      </c>
      <c r="H392" s="134">
        <v>2</v>
      </c>
      <c r="I392" s="134">
        <v>3</v>
      </c>
      <c r="J392" s="120">
        <v>1</v>
      </c>
      <c r="K392" s="134">
        <v>2</v>
      </c>
      <c r="L392" s="134">
        <v>3</v>
      </c>
    </row>
    <row r="393" spans="1:12">
      <c r="A393" s="120">
        <v>2</v>
      </c>
      <c r="B393" s="120" t="s">
        <v>471</v>
      </c>
      <c r="C393" s="120">
        <v>2</v>
      </c>
      <c r="D393" s="120">
        <v>9</v>
      </c>
      <c r="E393" s="120">
        <v>2</v>
      </c>
      <c r="F393" s="120">
        <v>12</v>
      </c>
      <c r="G393" s="120">
        <v>5</v>
      </c>
      <c r="H393" s="134">
        <v>3</v>
      </c>
      <c r="I393" s="134">
        <v>5</v>
      </c>
      <c r="J393" s="120">
        <v>2</v>
      </c>
      <c r="K393" s="134">
        <v>3</v>
      </c>
      <c r="L393" s="134">
        <v>5</v>
      </c>
    </row>
    <row r="394" spans="1:12">
      <c r="A394" s="120">
        <v>3</v>
      </c>
      <c r="B394" s="120" t="s">
        <v>473</v>
      </c>
      <c r="C394" s="120">
        <v>3</v>
      </c>
      <c r="D394" s="120">
        <v>10</v>
      </c>
      <c r="E394" s="120">
        <v>3</v>
      </c>
      <c r="F394" s="120">
        <v>12</v>
      </c>
      <c r="G394" s="120">
        <v>5</v>
      </c>
      <c r="H394" s="134">
        <v>4</v>
      </c>
      <c r="I394" s="134">
        <v>6</v>
      </c>
      <c r="J394" s="120">
        <v>2</v>
      </c>
      <c r="K394" s="134">
        <v>3</v>
      </c>
      <c r="L394" s="134">
        <v>5</v>
      </c>
    </row>
    <row r="397" spans="1:12">
      <c r="A397" s="128" t="s">
        <v>252</v>
      </c>
      <c r="B397" s="120" t="s">
        <v>823</v>
      </c>
      <c r="C397" s="128" t="s">
        <v>252</v>
      </c>
      <c r="D397" s="128" t="s">
        <v>1084</v>
      </c>
      <c r="E397" s="128" t="s">
        <v>528</v>
      </c>
      <c r="F397" s="128" t="s">
        <v>529</v>
      </c>
      <c r="G397" s="128" t="s">
        <v>1088</v>
      </c>
      <c r="H397" s="128" t="s">
        <v>1076</v>
      </c>
      <c r="I397" s="128" t="s">
        <v>1077</v>
      </c>
    </row>
    <row r="398" spans="1:12">
      <c r="A398" s="120">
        <v>-100</v>
      </c>
      <c r="B398" s="120" t="s">
        <v>994</v>
      </c>
      <c r="C398" s="120">
        <v>-2</v>
      </c>
      <c r="D398" s="120">
        <v>5</v>
      </c>
      <c r="E398" s="120">
        <v>-2</v>
      </c>
      <c r="H398" s="134">
        <v>0.3333334</v>
      </c>
      <c r="I398" s="134">
        <v>0.3333334</v>
      </c>
    </row>
    <row r="399" spans="1:12">
      <c r="A399" s="120">
        <v>-0.1</v>
      </c>
      <c r="B399" s="120" t="s">
        <v>543</v>
      </c>
      <c r="C399" s="120">
        <v>-1</v>
      </c>
      <c r="D399" s="120">
        <v>6</v>
      </c>
      <c r="E399" s="120">
        <v>-1</v>
      </c>
      <c r="H399" s="134">
        <v>0.5</v>
      </c>
      <c r="I399" s="134">
        <v>0.5</v>
      </c>
    </row>
    <row r="400" spans="1:12">
      <c r="A400" s="120">
        <v>0</v>
      </c>
      <c r="B400" s="120" t="s">
        <v>99</v>
      </c>
      <c r="C400" s="120">
        <v>0</v>
      </c>
      <c r="D400" s="120">
        <v>7</v>
      </c>
      <c r="E400" s="120">
        <v>0</v>
      </c>
      <c r="H400" s="134">
        <v>1</v>
      </c>
      <c r="I400" s="134">
        <v>1</v>
      </c>
    </row>
    <row r="401" spans="1:10">
      <c r="A401" s="120">
        <v>1</v>
      </c>
      <c r="B401" s="120" t="s">
        <v>552</v>
      </c>
      <c r="C401" s="120">
        <v>1</v>
      </c>
      <c r="D401" s="120">
        <v>8</v>
      </c>
      <c r="E401" s="120">
        <v>1</v>
      </c>
      <c r="H401" s="134">
        <v>2</v>
      </c>
      <c r="I401" s="134">
        <v>3</v>
      </c>
    </row>
    <row r="402" spans="1:10">
      <c r="A402" s="120">
        <v>2</v>
      </c>
      <c r="B402" s="120" t="s">
        <v>471</v>
      </c>
      <c r="C402" s="120">
        <v>2</v>
      </c>
      <c r="D402" s="120">
        <v>9</v>
      </c>
      <c r="E402" s="120">
        <v>2</v>
      </c>
      <c r="H402" s="134">
        <v>3</v>
      </c>
      <c r="I402" s="134">
        <v>5</v>
      </c>
    </row>
    <row r="403" spans="1:10">
      <c r="A403" s="120">
        <v>3</v>
      </c>
      <c r="B403" s="120" t="s">
        <v>473</v>
      </c>
      <c r="C403" s="120">
        <v>3</v>
      </c>
      <c r="D403" s="120">
        <v>10</v>
      </c>
      <c r="E403" s="120">
        <v>3</v>
      </c>
      <c r="H403" s="134">
        <v>4</v>
      </c>
      <c r="I403" s="134">
        <v>6</v>
      </c>
    </row>
    <row r="406" spans="1:10">
      <c r="A406" s="120" t="s">
        <v>371</v>
      </c>
      <c r="C406" s="128" t="s">
        <v>252</v>
      </c>
      <c r="D406" s="128" t="s">
        <v>372</v>
      </c>
      <c r="E406" s="128" t="s">
        <v>529</v>
      </c>
      <c r="F406" s="128" t="s">
        <v>1084</v>
      </c>
      <c r="G406" s="128" t="s">
        <v>1077</v>
      </c>
      <c r="H406" s="128" t="s">
        <v>767</v>
      </c>
      <c r="I406" s="128" t="s">
        <v>321</v>
      </c>
      <c r="J406" s="128" t="s">
        <v>957</v>
      </c>
    </row>
    <row r="407" spans="1:10">
      <c r="A407" s="120" t="s">
        <v>521</v>
      </c>
      <c r="B407" s="120" t="s">
        <v>765</v>
      </c>
      <c r="C407" s="120">
        <v>8</v>
      </c>
      <c r="D407" s="120">
        <v>1</v>
      </c>
      <c r="F407" s="120">
        <v>7</v>
      </c>
      <c r="G407" s="120">
        <v>0</v>
      </c>
      <c r="H407" s="120">
        <v>1</v>
      </c>
      <c r="I407" s="120">
        <v>1</v>
      </c>
      <c r="J407" s="128" t="s">
        <v>756</v>
      </c>
    </row>
    <row r="408" spans="1:10">
      <c r="A408" s="120" t="s">
        <v>959</v>
      </c>
      <c r="B408" s="120" t="s">
        <v>758</v>
      </c>
      <c r="C408" s="120">
        <v>8</v>
      </c>
      <c r="D408" s="120">
        <v>1</v>
      </c>
      <c r="E408" s="120">
        <v>7</v>
      </c>
      <c r="F408" s="120">
        <v>12</v>
      </c>
      <c r="G408" s="120">
        <v>1</v>
      </c>
      <c r="H408" s="120">
        <v>1</v>
      </c>
      <c r="I408" s="120">
        <v>1</v>
      </c>
      <c r="J408" s="128" t="s">
        <v>756</v>
      </c>
    </row>
    <row r="409" spans="1:10">
      <c r="A409" s="120" t="s">
        <v>772</v>
      </c>
      <c r="B409" s="120" t="s">
        <v>8</v>
      </c>
      <c r="C409" s="120">
        <v>15</v>
      </c>
      <c r="D409" s="120">
        <v>1</v>
      </c>
      <c r="E409" s="120">
        <v>7</v>
      </c>
      <c r="F409" s="120">
        <v>12</v>
      </c>
      <c r="G409" s="120">
        <v>1</v>
      </c>
      <c r="H409" s="120">
        <v>1</v>
      </c>
      <c r="I409" s="120">
        <v>1</v>
      </c>
      <c r="J409" s="128" t="s">
        <v>757</v>
      </c>
    </row>
    <row r="410" spans="1:10">
      <c r="A410" s="120" t="s">
        <v>805</v>
      </c>
      <c r="B410" s="120" t="s">
        <v>331</v>
      </c>
      <c r="C410" s="120">
        <v>9</v>
      </c>
      <c r="D410" s="120">
        <v>1</v>
      </c>
      <c r="F410" s="120">
        <v>7</v>
      </c>
      <c r="G410" s="120">
        <v>0</v>
      </c>
      <c r="H410" s="120">
        <v>1</v>
      </c>
      <c r="I410" s="120">
        <v>1</v>
      </c>
      <c r="J410" s="128" t="s">
        <v>756</v>
      </c>
    </row>
    <row r="411" spans="1:10">
      <c r="A411" s="120" t="s">
        <v>843</v>
      </c>
      <c r="B411" s="120" t="s">
        <v>17</v>
      </c>
      <c r="C411" s="120">
        <v>9</v>
      </c>
      <c r="D411" s="120">
        <v>1</v>
      </c>
      <c r="E411" s="120">
        <v>7</v>
      </c>
      <c r="F411" s="120">
        <v>12</v>
      </c>
      <c r="G411" s="120">
        <v>1</v>
      </c>
      <c r="H411" s="120">
        <v>1</v>
      </c>
      <c r="I411" s="120">
        <v>1</v>
      </c>
      <c r="J411" s="128" t="s">
        <v>1017</v>
      </c>
    </row>
    <row r="412" spans="1:10">
      <c r="A412" s="120" t="s">
        <v>844</v>
      </c>
      <c r="B412" s="120" t="s">
        <v>472</v>
      </c>
      <c r="C412" s="120">
        <v>12</v>
      </c>
      <c r="D412" s="120">
        <v>1</v>
      </c>
      <c r="E412" s="120">
        <v>7</v>
      </c>
      <c r="F412" s="120">
        <v>12</v>
      </c>
      <c r="G412" s="120">
        <v>1</v>
      </c>
      <c r="H412" s="120">
        <v>1</v>
      </c>
      <c r="I412" s="120">
        <v>1</v>
      </c>
      <c r="J412" s="128" t="s">
        <v>1017</v>
      </c>
    </row>
    <row r="413" spans="1:10">
      <c r="A413" s="120" t="s">
        <v>730</v>
      </c>
      <c r="B413" s="120" t="s">
        <v>18</v>
      </c>
      <c r="C413" s="120">
        <v>19</v>
      </c>
      <c r="D413" s="120">
        <v>1</v>
      </c>
      <c r="E413" s="120">
        <v>7</v>
      </c>
      <c r="F413" s="120">
        <v>12</v>
      </c>
      <c r="G413" s="120">
        <v>1</v>
      </c>
      <c r="H413" s="120">
        <v>1</v>
      </c>
      <c r="I413" s="120">
        <v>1</v>
      </c>
      <c r="J413" s="128" t="s">
        <v>1017</v>
      </c>
    </row>
    <row r="414" spans="1:10">
      <c r="A414" s="120" t="s">
        <v>1095</v>
      </c>
      <c r="C414" s="120">
        <v>5</v>
      </c>
      <c r="D414" s="120">
        <v>1</v>
      </c>
      <c r="F414" s="120">
        <v>6</v>
      </c>
      <c r="G414" s="120">
        <v>0</v>
      </c>
      <c r="H414" s="120">
        <v>1</v>
      </c>
      <c r="I414" s="120">
        <v>0</v>
      </c>
      <c r="J414" s="128" t="s">
        <v>879</v>
      </c>
    </row>
    <row r="415" spans="1:10">
      <c r="A415" s="120" t="s">
        <v>373</v>
      </c>
      <c r="B415" s="120" t="s">
        <v>32</v>
      </c>
      <c r="C415" s="120">
        <v>9</v>
      </c>
      <c r="D415" s="120">
        <v>1</v>
      </c>
      <c r="E415" s="120">
        <v>7</v>
      </c>
      <c r="F415" s="120">
        <v>12</v>
      </c>
      <c r="G415" s="120">
        <v>1</v>
      </c>
      <c r="H415" s="120">
        <v>1</v>
      </c>
      <c r="I415" s="120">
        <v>0</v>
      </c>
      <c r="J415" s="128" t="s">
        <v>879</v>
      </c>
    </row>
    <row r="416" spans="1:10">
      <c r="A416" s="120" t="s">
        <v>206</v>
      </c>
      <c r="B416" s="120" t="s">
        <v>938</v>
      </c>
      <c r="C416" s="120">
        <v>14</v>
      </c>
      <c r="D416" s="120">
        <v>1</v>
      </c>
      <c r="E416" s="120">
        <v>7</v>
      </c>
      <c r="F416" s="120">
        <v>12</v>
      </c>
      <c r="G416" s="120">
        <v>1</v>
      </c>
      <c r="H416" s="120">
        <v>1</v>
      </c>
      <c r="I416" s="120">
        <v>0</v>
      </c>
      <c r="J416" s="128" t="s">
        <v>879</v>
      </c>
    </row>
    <row r="417" spans="1:10">
      <c r="A417" s="120" t="s">
        <v>314</v>
      </c>
      <c r="B417" s="120" t="s">
        <v>290</v>
      </c>
      <c r="C417" s="120">
        <v>18</v>
      </c>
      <c r="D417" s="120">
        <v>1</v>
      </c>
      <c r="E417" s="120">
        <v>7</v>
      </c>
      <c r="F417" s="120">
        <v>12</v>
      </c>
      <c r="G417" s="120">
        <v>1</v>
      </c>
      <c r="H417" s="120">
        <v>1</v>
      </c>
      <c r="I417" s="120">
        <v>0</v>
      </c>
      <c r="J417" s="128" t="s">
        <v>879</v>
      </c>
    </row>
    <row r="418" spans="1:10">
      <c r="A418" s="120" t="s">
        <v>461</v>
      </c>
      <c r="B418" s="120" t="s">
        <v>505</v>
      </c>
      <c r="C418" s="120">
        <v>10</v>
      </c>
      <c r="D418" s="120">
        <v>1</v>
      </c>
      <c r="E418" s="120">
        <v>7</v>
      </c>
      <c r="F418" s="120">
        <v>12</v>
      </c>
      <c r="G418" s="120">
        <v>1</v>
      </c>
      <c r="H418" s="120">
        <v>1</v>
      </c>
      <c r="I418" s="120">
        <v>0</v>
      </c>
      <c r="J418" s="128" t="s">
        <v>513</v>
      </c>
    </row>
    <row r="419" spans="1:10">
      <c r="A419" s="120" t="s">
        <v>632</v>
      </c>
      <c r="B419" s="120" t="s">
        <v>686</v>
      </c>
      <c r="C419" s="120">
        <v>13</v>
      </c>
      <c r="D419" s="120">
        <v>1</v>
      </c>
      <c r="E419" s="120">
        <v>7</v>
      </c>
      <c r="F419" s="120">
        <v>12</v>
      </c>
      <c r="G419" s="120">
        <v>1</v>
      </c>
      <c r="H419" s="120">
        <v>1</v>
      </c>
      <c r="I419" s="120">
        <v>0</v>
      </c>
      <c r="J419" s="128" t="s">
        <v>513</v>
      </c>
    </row>
    <row r="420" spans="1:10">
      <c r="A420" s="120" t="s">
        <v>983</v>
      </c>
      <c r="B420" s="120" t="s">
        <v>941</v>
      </c>
      <c r="C420" s="120">
        <v>8</v>
      </c>
      <c r="D420" s="120">
        <v>1</v>
      </c>
      <c r="F420" s="120">
        <v>7</v>
      </c>
      <c r="G420" s="120">
        <v>0.1</v>
      </c>
      <c r="H420" s="120">
        <v>1</v>
      </c>
      <c r="I420" s="120">
        <v>0</v>
      </c>
      <c r="J420" s="128" t="s">
        <v>513</v>
      </c>
    </row>
    <row r="421" spans="1:10">
      <c r="A421" s="120" t="s">
        <v>287</v>
      </c>
      <c r="B421" s="120" t="s">
        <v>655</v>
      </c>
      <c r="C421" s="120">
        <v>9</v>
      </c>
      <c r="D421" s="120">
        <v>1</v>
      </c>
      <c r="F421" s="120">
        <v>7</v>
      </c>
      <c r="G421" s="120">
        <v>0.1</v>
      </c>
      <c r="H421" s="120">
        <v>0</v>
      </c>
      <c r="I421" s="120">
        <v>1</v>
      </c>
      <c r="J421" s="128" t="s">
        <v>1017</v>
      </c>
    </row>
    <row r="422" spans="1:10">
      <c r="A422" s="120" t="s">
        <v>288</v>
      </c>
      <c r="B422" s="120" t="s">
        <v>13</v>
      </c>
      <c r="C422" s="120">
        <v>10</v>
      </c>
      <c r="D422" s="120">
        <v>1</v>
      </c>
      <c r="F422" s="120">
        <v>7</v>
      </c>
      <c r="G422" s="120">
        <v>0.1</v>
      </c>
      <c r="H422" s="120">
        <v>1</v>
      </c>
      <c r="I422" s="120">
        <v>0</v>
      </c>
      <c r="J422" s="128" t="s">
        <v>513</v>
      </c>
    </row>
    <row r="423" spans="1:10">
      <c r="A423" s="120" t="s">
        <v>1015</v>
      </c>
      <c r="B423" s="120" t="s">
        <v>447</v>
      </c>
      <c r="C423" s="120">
        <v>10</v>
      </c>
      <c r="D423" s="120">
        <v>1</v>
      </c>
      <c r="F423" s="120">
        <v>7</v>
      </c>
      <c r="G423" s="120">
        <v>0.1</v>
      </c>
      <c r="H423" s="120">
        <v>1</v>
      </c>
      <c r="I423" s="120">
        <v>0</v>
      </c>
      <c r="J423" s="128" t="s">
        <v>514</v>
      </c>
    </row>
    <row r="424" spans="1:10">
      <c r="A424" s="120" t="s">
        <v>1116</v>
      </c>
      <c r="B424" s="120" t="s">
        <v>889</v>
      </c>
      <c r="C424" s="120">
        <v>11</v>
      </c>
      <c r="D424" s="120">
        <v>1</v>
      </c>
      <c r="F424" s="120">
        <v>7</v>
      </c>
      <c r="G424" s="120">
        <v>0.1</v>
      </c>
      <c r="H424" s="120">
        <v>1</v>
      </c>
      <c r="I424" s="120">
        <v>0</v>
      </c>
      <c r="J424" s="128" t="s">
        <v>514</v>
      </c>
    </row>
    <row r="425" spans="1:10">
      <c r="A425" s="120" t="s">
        <v>876</v>
      </c>
      <c r="B425" s="120" t="s">
        <v>195</v>
      </c>
      <c r="C425" s="120">
        <v>8</v>
      </c>
      <c r="D425" s="120">
        <v>1</v>
      </c>
      <c r="F425" s="120">
        <v>7</v>
      </c>
      <c r="G425" s="120">
        <v>0.1</v>
      </c>
      <c r="H425" s="120">
        <v>1</v>
      </c>
      <c r="I425" s="120">
        <v>0</v>
      </c>
      <c r="J425" s="128" t="s">
        <v>1017</v>
      </c>
    </row>
    <row r="426" spans="1:10">
      <c r="A426" s="120" t="s">
        <v>631</v>
      </c>
      <c r="B426" s="120" t="s">
        <v>489</v>
      </c>
      <c r="C426" s="120">
        <v>12</v>
      </c>
      <c r="D426" s="120">
        <v>1</v>
      </c>
      <c r="F426" s="120">
        <v>7</v>
      </c>
      <c r="G426" s="120">
        <v>0.1</v>
      </c>
      <c r="H426" s="120">
        <v>1</v>
      </c>
      <c r="I426" s="120">
        <v>0</v>
      </c>
      <c r="J426" s="128" t="s">
        <v>514</v>
      </c>
    </row>
    <row r="427" spans="1:10">
      <c r="A427" s="120" t="s">
        <v>816</v>
      </c>
      <c r="B427" s="120" t="s">
        <v>1113</v>
      </c>
      <c r="C427" s="120">
        <v>9</v>
      </c>
      <c r="D427" s="120">
        <v>1</v>
      </c>
      <c r="F427" s="120">
        <v>7</v>
      </c>
      <c r="G427" s="120">
        <v>0.1</v>
      </c>
      <c r="H427" s="120">
        <v>1</v>
      </c>
      <c r="I427" s="120">
        <v>0</v>
      </c>
      <c r="J427" s="128" t="s">
        <v>515</v>
      </c>
    </row>
    <row r="428" spans="1:10">
      <c r="A428" s="120" t="s">
        <v>751</v>
      </c>
      <c r="B428" s="120" t="s">
        <v>15</v>
      </c>
      <c r="C428" s="120">
        <v>10</v>
      </c>
      <c r="D428" s="120">
        <v>1</v>
      </c>
      <c r="F428" s="120">
        <v>7</v>
      </c>
      <c r="G428" s="120">
        <v>0.1</v>
      </c>
      <c r="H428" s="120">
        <v>0</v>
      </c>
      <c r="I428" s="120">
        <v>1</v>
      </c>
      <c r="J428" s="128" t="s">
        <v>1017</v>
      </c>
    </row>
    <row r="429" spans="1:10">
      <c r="A429" s="120" t="s">
        <v>929</v>
      </c>
      <c r="B429" s="120" t="s">
        <v>465</v>
      </c>
      <c r="C429" s="120">
        <v>7</v>
      </c>
      <c r="D429" s="120">
        <v>1</v>
      </c>
      <c r="F429" s="120">
        <v>7</v>
      </c>
      <c r="G429" s="120">
        <v>0.1</v>
      </c>
      <c r="H429" s="120">
        <v>1</v>
      </c>
      <c r="I429" s="120">
        <v>0</v>
      </c>
      <c r="J429" s="128" t="s">
        <v>1017</v>
      </c>
    </row>
    <row r="430" spans="1:10">
      <c r="A430" s="120" t="s">
        <v>1033</v>
      </c>
      <c r="B430" s="120" t="s">
        <v>1112</v>
      </c>
      <c r="C430" s="120">
        <v>8</v>
      </c>
      <c r="D430" s="120">
        <v>1</v>
      </c>
      <c r="F430" s="120">
        <v>7</v>
      </c>
      <c r="G430" s="120">
        <v>1</v>
      </c>
      <c r="H430" s="120">
        <v>0</v>
      </c>
      <c r="I430" s="120">
        <v>1</v>
      </c>
      <c r="J430" s="128" t="s">
        <v>756</v>
      </c>
    </row>
    <row r="431" spans="1:10">
      <c r="A431" s="120" t="s">
        <v>829</v>
      </c>
      <c r="B431" s="120" t="s">
        <v>16</v>
      </c>
      <c r="C431" s="120">
        <v>12</v>
      </c>
      <c r="D431" s="120">
        <v>1</v>
      </c>
      <c r="E431" s="120">
        <v>7</v>
      </c>
      <c r="F431" s="120">
        <v>12</v>
      </c>
      <c r="G431" s="120">
        <v>1</v>
      </c>
      <c r="H431" s="120">
        <v>1</v>
      </c>
      <c r="I431" s="120">
        <v>0</v>
      </c>
      <c r="J431" s="128" t="s">
        <v>516</v>
      </c>
    </row>
    <row r="434" spans="1:10">
      <c r="A434" s="120" t="s">
        <v>830</v>
      </c>
      <c r="B434" s="135" t="s">
        <v>456</v>
      </c>
      <c r="C434" s="135" t="s">
        <v>830</v>
      </c>
      <c r="D434" s="135" t="s">
        <v>922</v>
      </c>
      <c r="E434" s="128" t="s">
        <v>729</v>
      </c>
      <c r="F434" s="128" t="s">
        <v>1064</v>
      </c>
      <c r="G434" s="128" t="s">
        <v>642</v>
      </c>
      <c r="H434" s="128" t="s">
        <v>1002</v>
      </c>
      <c r="I434" s="128" t="s">
        <v>827</v>
      </c>
      <c r="J434" s="1" t="s">
        <v>793</v>
      </c>
    </row>
    <row r="435" spans="1:10">
      <c r="A435" s="120">
        <v>0</v>
      </c>
      <c r="B435" s="120" t="s">
        <v>45</v>
      </c>
      <c r="C435" s="120">
        <v>0</v>
      </c>
      <c r="D435" s="120" t="str">
        <f>""</f>
        <v/>
      </c>
      <c r="E435" s="120">
        <v>0</v>
      </c>
      <c r="F435" s="120">
        <v>0</v>
      </c>
      <c r="G435" s="120">
        <v>0</v>
      </c>
      <c r="H435" s="120">
        <v>0</v>
      </c>
      <c r="I435" s="120">
        <v>0</v>
      </c>
      <c r="J435">
        <v>0</v>
      </c>
    </row>
    <row r="436" spans="1:10">
      <c r="A436" s="120">
        <v>1</v>
      </c>
      <c r="B436" s="120" t="s">
        <v>831</v>
      </c>
      <c r="C436" s="120">
        <v>1</v>
      </c>
      <c r="D436" s="120" t="s">
        <v>832</v>
      </c>
      <c r="E436" s="120">
        <v>1</v>
      </c>
      <c r="F436" s="120">
        <v>0.5</v>
      </c>
      <c r="G436" s="120">
        <v>1</v>
      </c>
      <c r="H436" s="120">
        <v>0</v>
      </c>
      <c r="I436" s="120">
        <v>0</v>
      </c>
      <c r="J436">
        <v>0</v>
      </c>
    </row>
    <row r="437" spans="1:10">
      <c r="A437" s="120">
        <v>2</v>
      </c>
      <c r="B437" s="120" t="s">
        <v>205</v>
      </c>
      <c r="C437" s="120">
        <v>2</v>
      </c>
      <c r="D437" s="120" t="s">
        <v>630</v>
      </c>
      <c r="E437" s="120">
        <v>10</v>
      </c>
      <c r="F437" s="120">
        <v>2</v>
      </c>
      <c r="G437" s="120">
        <v>5</v>
      </c>
      <c r="H437" s="120">
        <v>0</v>
      </c>
      <c r="I437" s="120">
        <v>0</v>
      </c>
      <c r="J437">
        <v>0</v>
      </c>
    </row>
    <row r="438" spans="1:10">
      <c r="A438" s="120">
        <v>3</v>
      </c>
      <c r="B438" s="120" t="s">
        <v>51</v>
      </c>
      <c r="C438" s="120">
        <v>3</v>
      </c>
      <c r="D438" s="120" t="s">
        <v>1145</v>
      </c>
      <c r="E438" s="120">
        <v>0</v>
      </c>
      <c r="F438" s="120">
        <v>1</v>
      </c>
      <c r="G438" s="120">
        <v>0</v>
      </c>
      <c r="H438" s="120">
        <v>0</v>
      </c>
      <c r="I438" s="120">
        <v>0</v>
      </c>
      <c r="J438">
        <v>3</v>
      </c>
    </row>
    <row r="439" spans="1:10">
      <c r="A439" s="120">
        <v>4</v>
      </c>
      <c r="B439" s="120" t="s">
        <v>710</v>
      </c>
      <c r="C439" s="120">
        <v>4</v>
      </c>
      <c r="D439" s="120" t="s">
        <v>48</v>
      </c>
      <c r="E439" s="120">
        <v>1</v>
      </c>
      <c r="F439" s="120">
        <v>0.2</v>
      </c>
      <c r="G439" s="120">
        <v>-2</v>
      </c>
      <c r="H439" s="120">
        <v>1</v>
      </c>
      <c r="I439" s="120">
        <v>1</v>
      </c>
      <c r="J439">
        <v>1</v>
      </c>
    </row>
    <row r="440" spans="1:10">
      <c r="A440" s="120">
        <v>5</v>
      </c>
      <c r="B440" s="120" t="s">
        <v>993</v>
      </c>
      <c r="C440" s="120">
        <v>5</v>
      </c>
      <c r="D440" s="120" t="s">
        <v>70</v>
      </c>
      <c r="E440" s="120">
        <v>1</v>
      </c>
      <c r="F440" s="120">
        <v>0.5</v>
      </c>
      <c r="G440" s="120">
        <v>-1</v>
      </c>
      <c r="H440" s="120">
        <v>1</v>
      </c>
      <c r="I440" s="120">
        <v>2</v>
      </c>
      <c r="J440">
        <v>2</v>
      </c>
    </row>
    <row r="441" spans="1:10">
      <c r="A441" s="120">
        <v>6</v>
      </c>
      <c r="B441" s="120" t="s">
        <v>71</v>
      </c>
      <c r="C441" s="120">
        <v>6</v>
      </c>
      <c r="D441" s="120" t="s">
        <v>72</v>
      </c>
      <c r="E441" s="120">
        <v>1</v>
      </c>
      <c r="F441" s="120">
        <v>1</v>
      </c>
      <c r="G441" s="120">
        <v>0</v>
      </c>
      <c r="H441" s="120">
        <v>1</v>
      </c>
      <c r="I441" s="120">
        <v>3</v>
      </c>
      <c r="J441">
        <v>3</v>
      </c>
    </row>
    <row r="442" spans="1:10">
      <c r="A442" s="120">
        <v>7</v>
      </c>
      <c r="B442" s="120" t="s">
        <v>638</v>
      </c>
      <c r="C442" s="120">
        <v>7</v>
      </c>
      <c r="D442" s="120" t="s">
        <v>639</v>
      </c>
      <c r="E442" s="120">
        <v>1</v>
      </c>
      <c r="F442" s="120">
        <v>1.5</v>
      </c>
      <c r="G442" s="120">
        <v>1</v>
      </c>
      <c r="H442" s="120">
        <v>1</v>
      </c>
      <c r="I442" s="120">
        <v>4</v>
      </c>
      <c r="J442">
        <v>4</v>
      </c>
    </row>
    <row r="443" spans="1:10">
      <c r="A443" s="120">
        <v>8</v>
      </c>
      <c r="B443" s="120" t="s">
        <v>597</v>
      </c>
      <c r="C443" s="120">
        <v>8</v>
      </c>
      <c r="D443" s="120" t="s">
        <v>573</v>
      </c>
      <c r="E443" s="120">
        <v>3</v>
      </c>
      <c r="F443" s="120">
        <v>3</v>
      </c>
      <c r="G443" s="120">
        <v>2</v>
      </c>
      <c r="H443" s="120">
        <v>1</v>
      </c>
      <c r="I443" s="120">
        <v>5</v>
      </c>
      <c r="J443">
        <v>1</v>
      </c>
    </row>
    <row r="444" spans="1:10">
      <c r="A444" s="120">
        <v>9</v>
      </c>
      <c r="B444" s="120" t="s">
        <v>595</v>
      </c>
      <c r="C444" s="120">
        <v>9</v>
      </c>
      <c r="D444" s="120" t="s">
        <v>984</v>
      </c>
      <c r="E444" s="120">
        <v>5</v>
      </c>
      <c r="F444" s="120">
        <v>4</v>
      </c>
      <c r="G444" s="120">
        <v>3</v>
      </c>
      <c r="H444" s="120">
        <v>1</v>
      </c>
      <c r="I444" s="120">
        <v>10</v>
      </c>
      <c r="J444">
        <v>2</v>
      </c>
    </row>
    <row r="445" spans="1:10">
      <c r="A445" s="120">
        <v>10</v>
      </c>
      <c r="B445" s="120" t="s">
        <v>875</v>
      </c>
      <c r="C445" s="120">
        <v>10</v>
      </c>
      <c r="D445" s="120" t="s">
        <v>875</v>
      </c>
      <c r="E445" s="120">
        <v>50</v>
      </c>
      <c r="F445" s="120">
        <v>5</v>
      </c>
      <c r="G445" s="120">
        <v>5</v>
      </c>
      <c r="H445" s="120">
        <v>1</v>
      </c>
      <c r="I445" s="120">
        <v>20</v>
      </c>
      <c r="J445">
        <v>1</v>
      </c>
    </row>
    <row r="446" spans="1:10">
      <c r="A446" s="120">
        <v>11</v>
      </c>
      <c r="B446" s="120" t="s">
        <v>419</v>
      </c>
      <c r="C446" s="120">
        <v>11</v>
      </c>
      <c r="D446" s="120" t="s">
        <v>986</v>
      </c>
      <c r="E446" s="120">
        <v>100</v>
      </c>
      <c r="F446" s="120">
        <v>10</v>
      </c>
      <c r="G446" s="120">
        <v>8</v>
      </c>
      <c r="H446" s="120">
        <v>1</v>
      </c>
      <c r="I446" s="120">
        <v>30</v>
      </c>
      <c r="J446">
        <v>1</v>
      </c>
    </row>
    <row r="447" spans="1:10">
      <c r="A447" s="120">
        <v>12</v>
      </c>
      <c r="B447" s="120" t="s">
        <v>987</v>
      </c>
      <c r="C447" s="120">
        <v>12</v>
      </c>
      <c r="D447" s="120" t="s">
        <v>878</v>
      </c>
      <c r="E447" s="120">
        <v>200</v>
      </c>
      <c r="F447" s="120">
        <v>20</v>
      </c>
      <c r="G447" s="120">
        <v>10</v>
      </c>
      <c r="H447" s="120">
        <v>1</v>
      </c>
      <c r="I447" s="120">
        <v>100</v>
      </c>
      <c r="J447">
        <v>1</v>
      </c>
    </row>
    <row r="450" spans="1:11">
      <c r="A450" s="120" t="s">
        <v>935</v>
      </c>
      <c r="B450" s="120" t="s">
        <v>922</v>
      </c>
      <c r="C450" s="128" t="s">
        <v>270</v>
      </c>
      <c r="D450" s="128" t="s">
        <v>1029</v>
      </c>
      <c r="E450" s="128" t="s">
        <v>871</v>
      </c>
      <c r="F450" s="128" t="s">
        <v>1064</v>
      </c>
      <c r="G450" s="128" t="s">
        <v>909</v>
      </c>
      <c r="H450" s="128"/>
      <c r="K450" s="113" t="s">
        <v>628</v>
      </c>
    </row>
    <row r="451" spans="1:11">
      <c r="A451" s="120" t="s">
        <v>1068</v>
      </c>
      <c r="B451" s="120" t="s">
        <v>1112</v>
      </c>
      <c r="C451" s="120">
        <v>8</v>
      </c>
      <c r="D451" s="120">
        <v>4</v>
      </c>
      <c r="E451" s="120">
        <v>7</v>
      </c>
      <c r="F451" s="120">
        <v>0.5</v>
      </c>
      <c r="G451" s="120">
        <v>6</v>
      </c>
      <c r="K451" s="120" t="s">
        <v>20</v>
      </c>
    </row>
    <row r="452" spans="1:11">
      <c r="A452" s="120" t="s">
        <v>1069</v>
      </c>
      <c r="B452" s="120" t="s">
        <v>1113</v>
      </c>
      <c r="C452" s="120">
        <v>9</v>
      </c>
      <c r="D452" s="120">
        <v>4</v>
      </c>
      <c r="E452" s="120">
        <v>7</v>
      </c>
      <c r="F452" s="120">
        <v>0.3</v>
      </c>
      <c r="G452" s="120">
        <v>6</v>
      </c>
      <c r="K452" s="120" t="s">
        <v>712</v>
      </c>
    </row>
    <row r="453" spans="1:11">
      <c r="A453" s="120" t="s">
        <v>977</v>
      </c>
      <c r="B453" s="120" t="s">
        <v>447</v>
      </c>
      <c r="C453" s="120">
        <v>10</v>
      </c>
      <c r="D453" s="120">
        <v>4</v>
      </c>
      <c r="E453" s="120">
        <v>7</v>
      </c>
      <c r="F453" s="120">
        <v>0.5</v>
      </c>
      <c r="G453" s="120">
        <v>6</v>
      </c>
      <c r="K453" s="120" t="s">
        <v>1021</v>
      </c>
    </row>
    <row r="454" spans="1:11">
      <c r="A454" s="120" t="s">
        <v>3</v>
      </c>
      <c r="B454" s="120" t="s">
        <v>15</v>
      </c>
      <c r="C454" s="120">
        <v>11</v>
      </c>
      <c r="D454" s="120">
        <v>8</v>
      </c>
      <c r="E454" s="120">
        <v>7</v>
      </c>
      <c r="F454" s="120">
        <v>1</v>
      </c>
      <c r="G454" s="120">
        <v>9</v>
      </c>
      <c r="K454" s="120" t="s">
        <v>1141</v>
      </c>
    </row>
    <row r="455" spans="1:11">
      <c r="A455" s="120" t="s">
        <v>1075</v>
      </c>
      <c r="B455" s="120" t="s">
        <v>489</v>
      </c>
      <c r="C455" s="120">
        <v>12</v>
      </c>
      <c r="D455" s="120">
        <v>8</v>
      </c>
      <c r="E455" s="120">
        <v>7</v>
      </c>
      <c r="F455" s="120">
        <v>1.5</v>
      </c>
      <c r="G455" s="120">
        <v>9</v>
      </c>
      <c r="K455" s="120" t="s">
        <v>1135</v>
      </c>
    </row>
    <row r="456" spans="1:11">
      <c r="A456" s="120" t="s">
        <v>1142</v>
      </c>
      <c r="B456" s="120" t="s">
        <v>655</v>
      </c>
      <c r="C456" s="120">
        <v>9</v>
      </c>
      <c r="D456" s="120">
        <v>4</v>
      </c>
      <c r="E456" s="120">
        <v>7</v>
      </c>
      <c r="F456" s="120">
        <v>0.2</v>
      </c>
      <c r="G456" s="120">
        <v>6</v>
      </c>
      <c r="K456" s="120" t="s">
        <v>319</v>
      </c>
    </row>
    <row r="457" spans="1:11">
      <c r="A457" s="120" t="s">
        <v>812</v>
      </c>
      <c r="B457" s="120" t="s">
        <v>938</v>
      </c>
      <c r="C457" s="120">
        <v>10</v>
      </c>
      <c r="D457" s="120">
        <v>10</v>
      </c>
      <c r="E457" s="120">
        <v>7</v>
      </c>
      <c r="F457" s="120">
        <v>10</v>
      </c>
      <c r="G457" s="120">
        <v>10</v>
      </c>
      <c r="K457" s="120" t="s">
        <v>775</v>
      </c>
    </row>
    <row r="458" spans="1:11">
      <c r="A458" s="120" t="s">
        <v>998</v>
      </c>
      <c r="B458" s="120" t="s">
        <v>17</v>
      </c>
      <c r="C458" s="120">
        <v>12</v>
      </c>
      <c r="D458" s="120">
        <v>10</v>
      </c>
      <c r="E458" s="120">
        <v>12</v>
      </c>
      <c r="F458" s="120">
        <v>12</v>
      </c>
      <c r="G458" s="120">
        <v>10</v>
      </c>
      <c r="K458" s="120" t="s">
        <v>547</v>
      </c>
    </row>
    <row r="459" spans="1:11">
      <c r="A459" s="120" t="s">
        <v>819</v>
      </c>
      <c r="B459" s="120" t="s">
        <v>878</v>
      </c>
      <c r="C459" s="120">
        <v>7</v>
      </c>
      <c r="D459" s="120">
        <v>4</v>
      </c>
      <c r="E459" s="120">
        <v>12</v>
      </c>
      <c r="F459" s="120">
        <v>2</v>
      </c>
      <c r="G459" s="120">
        <v>6</v>
      </c>
      <c r="K459" s="120" t="s">
        <v>713</v>
      </c>
    </row>
    <row r="460" spans="1:11">
      <c r="A460" s="120" t="s">
        <v>479</v>
      </c>
      <c r="B460" s="120" t="s">
        <v>505</v>
      </c>
      <c r="C460" s="120">
        <v>10</v>
      </c>
      <c r="D460" s="120">
        <v>10</v>
      </c>
      <c r="E460" s="120">
        <v>12</v>
      </c>
      <c r="F460" s="120">
        <v>3</v>
      </c>
      <c r="G460" s="120">
        <v>10</v>
      </c>
      <c r="K460" s="120" t="s">
        <v>714</v>
      </c>
    </row>
    <row r="461" spans="1:11">
      <c r="A461" s="120" t="s">
        <v>544</v>
      </c>
      <c r="B461" s="120" t="s">
        <v>320</v>
      </c>
      <c r="C461" s="120">
        <v>20</v>
      </c>
      <c r="D461" s="120">
        <v>8</v>
      </c>
      <c r="E461" s="120">
        <v>12</v>
      </c>
      <c r="F461" s="120">
        <v>5</v>
      </c>
      <c r="G461" s="120">
        <v>9</v>
      </c>
    </row>
    <row r="462" spans="1:11">
      <c r="A462" s="120" t="s">
        <v>545</v>
      </c>
      <c r="B462" s="120" t="s">
        <v>32</v>
      </c>
      <c r="C462" s="120">
        <v>14</v>
      </c>
      <c r="D462" s="120">
        <v>8</v>
      </c>
      <c r="E462" s="120">
        <v>7</v>
      </c>
      <c r="F462" s="120">
        <v>15</v>
      </c>
      <c r="G462" s="120">
        <v>9</v>
      </c>
    </row>
    <row r="463" spans="1:11">
      <c r="A463" s="120" t="s">
        <v>33</v>
      </c>
      <c r="B463" s="120" t="s">
        <v>195</v>
      </c>
      <c r="C463" s="120">
        <v>16</v>
      </c>
      <c r="D463" s="120">
        <v>8</v>
      </c>
      <c r="E463" s="120">
        <v>7</v>
      </c>
      <c r="F463" s="120">
        <v>5</v>
      </c>
      <c r="G463" s="120">
        <v>9</v>
      </c>
    </row>
    <row r="464" spans="1:11">
      <c r="A464" s="120" t="s">
        <v>281</v>
      </c>
      <c r="B464" s="120" t="s">
        <v>290</v>
      </c>
      <c r="C464" s="120">
        <v>17</v>
      </c>
      <c r="D464" s="120">
        <v>4</v>
      </c>
      <c r="E464" s="120">
        <v>7</v>
      </c>
      <c r="F464" s="120">
        <v>1</v>
      </c>
      <c r="G464" s="120">
        <v>6</v>
      </c>
    </row>
    <row r="465" spans="1:7">
      <c r="A465" s="120" t="s">
        <v>532</v>
      </c>
      <c r="B465" s="120" t="s">
        <v>8</v>
      </c>
      <c r="C465" s="120">
        <v>18</v>
      </c>
      <c r="D465" s="120">
        <v>8</v>
      </c>
      <c r="E465" s="120">
        <v>12</v>
      </c>
      <c r="F465" s="120">
        <v>15</v>
      </c>
      <c r="G465" s="120">
        <v>9</v>
      </c>
    </row>
    <row r="466" spans="1:7">
      <c r="A466" s="120" t="s">
        <v>62</v>
      </c>
      <c r="B466" s="120" t="s">
        <v>472</v>
      </c>
      <c r="C466" s="120">
        <v>21</v>
      </c>
      <c r="D466" s="120">
        <v>4</v>
      </c>
      <c r="E466" s="120">
        <v>12</v>
      </c>
      <c r="F466" s="120">
        <v>5</v>
      </c>
      <c r="G466" s="120">
        <v>6</v>
      </c>
    </row>
    <row r="467" spans="1:7">
      <c r="A467" s="120" t="s">
        <v>624</v>
      </c>
      <c r="B467" s="120" t="s">
        <v>13</v>
      </c>
      <c r="C467" s="120">
        <v>10</v>
      </c>
      <c r="D467" s="120">
        <v>4</v>
      </c>
      <c r="E467" s="120">
        <v>7</v>
      </c>
      <c r="F467" s="120">
        <v>1</v>
      </c>
      <c r="G467" s="120">
        <v>6</v>
      </c>
    </row>
    <row r="468" spans="1:7">
      <c r="A468" s="120" t="s">
        <v>840</v>
      </c>
      <c r="B468" s="120" t="s">
        <v>18</v>
      </c>
      <c r="C468" s="120">
        <v>9</v>
      </c>
      <c r="D468" s="120">
        <v>4</v>
      </c>
      <c r="E468" s="120">
        <v>7</v>
      </c>
      <c r="F468" s="120">
        <v>0.1</v>
      </c>
      <c r="G468" s="120">
        <v>6</v>
      </c>
    </row>
    <row r="469" spans="1:7">
      <c r="A469" s="120" t="s">
        <v>841</v>
      </c>
      <c r="B469" s="120" t="s">
        <v>16</v>
      </c>
      <c r="C469" s="120">
        <v>12</v>
      </c>
      <c r="D469" s="120">
        <v>10</v>
      </c>
      <c r="E469" s="120">
        <v>7</v>
      </c>
      <c r="F469" s="120">
        <v>15</v>
      </c>
      <c r="G469" s="120">
        <v>10</v>
      </c>
    </row>
    <row r="470" spans="1:7">
      <c r="A470" s="120" t="s">
        <v>842</v>
      </c>
      <c r="B470" s="120" t="s">
        <v>765</v>
      </c>
      <c r="C470" s="120">
        <v>8</v>
      </c>
      <c r="D470" s="120">
        <v>4</v>
      </c>
      <c r="E470" s="120">
        <v>12</v>
      </c>
      <c r="F470" s="120">
        <v>5</v>
      </c>
      <c r="G470" s="120">
        <v>6</v>
      </c>
    </row>
    <row r="471" spans="1:7">
      <c r="A471" s="120" t="s">
        <v>560</v>
      </c>
      <c r="B471" s="120" t="s">
        <v>465</v>
      </c>
      <c r="C471" s="120">
        <v>10</v>
      </c>
      <c r="D471" s="120">
        <v>6</v>
      </c>
      <c r="E471" s="120">
        <v>7</v>
      </c>
      <c r="F471" s="120">
        <v>1</v>
      </c>
      <c r="G471" s="120">
        <v>6</v>
      </c>
    </row>
    <row r="472" spans="1:7">
      <c r="A472" s="120" t="s">
        <v>845</v>
      </c>
      <c r="B472" s="120" t="s">
        <v>465</v>
      </c>
      <c r="C472" s="120">
        <v>10</v>
      </c>
      <c r="D472" s="120">
        <v>6</v>
      </c>
      <c r="E472" s="120">
        <v>12</v>
      </c>
      <c r="F472" s="120">
        <v>1</v>
      </c>
      <c r="G472" s="120">
        <v>6</v>
      </c>
    </row>
    <row r="473" spans="1:7">
      <c r="A473" s="120" t="s">
        <v>971</v>
      </c>
      <c r="B473" s="120" t="s">
        <v>889</v>
      </c>
      <c r="C473" s="120">
        <v>11</v>
      </c>
      <c r="D473" s="120">
        <v>8</v>
      </c>
      <c r="E473" s="120">
        <v>12</v>
      </c>
      <c r="F473" s="120">
        <v>2.5</v>
      </c>
      <c r="G473" s="120">
        <v>9</v>
      </c>
    </row>
    <row r="474" spans="1:7">
      <c r="A474" s="120" t="s">
        <v>924</v>
      </c>
      <c r="B474" s="120" t="s">
        <v>686</v>
      </c>
      <c r="C474" s="120">
        <v>13</v>
      </c>
      <c r="D474" s="120">
        <v>12</v>
      </c>
      <c r="E474" s="120">
        <v>12</v>
      </c>
      <c r="F474" s="120">
        <v>5</v>
      </c>
      <c r="G474" s="120">
        <v>12</v>
      </c>
    </row>
    <row r="477" spans="1:7">
      <c r="A477" s="120" t="s">
        <v>208</v>
      </c>
      <c r="B477" s="120" t="s">
        <v>922</v>
      </c>
      <c r="C477" s="128" t="s">
        <v>270</v>
      </c>
      <c r="D477" s="128" t="s">
        <v>1029</v>
      </c>
      <c r="E477" s="128" t="s">
        <v>871</v>
      </c>
      <c r="F477" s="128" t="s">
        <v>1064</v>
      </c>
    </row>
    <row r="478" spans="1:7">
      <c r="A478" s="120" t="s">
        <v>1067</v>
      </c>
      <c r="B478" s="120" t="s">
        <v>505</v>
      </c>
      <c r="C478" s="120">
        <v>12</v>
      </c>
      <c r="D478" s="120">
        <v>3</v>
      </c>
      <c r="E478" s="120">
        <v>7</v>
      </c>
      <c r="F478" s="120">
        <v>1</v>
      </c>
    </row>
    <row r="479" spans="1:7">
      <c r="A479" s="120" t="s">
        <v>448</v>
      </c>
      <c r="B479" s="120" t="s">
        <v>686</v>
      </c>
      <c r="C479" s="120">
        <v>13</v>
      </c>
      <c r="D479" s="120">
        <v>3</v>
      </c>
      <c r="E479" s="120">
        <v>7</v>
      </c>
      <c r="F479" s="120">
        <v>3</v>
      </c>
    </row>
    <row r="480" spans="1:7">
      <c r="A480" s="120" t="s">
        <v>369</v>
      </c>
      <c r="B480" s="120" t="s">
        <v>32</v>
      </c>
      <c r="C480" s="120">
        <v>16</v>
      </c>
      <c r="D480" s="120">
        <v>3</v>
      </c>
      <c r="E480" s="120">
        <v>7</v>
      </c>
      <c r="F480" s="120">
        <v>10</v>
      </c>
    </row>
    <row r="481" spans="1:6">
      <c r="A481" s="120" t="s">
        <v>1061</v>
      </c>
      <c r="B481" s="120" t="s">
        <v>1112</v>
      </c>
      <c r="C481" s="120">
        <v>17</v>
      </c>
      <c r="D481" s="120">
        <v>3</v>
      </c>
      <c r="E481" s="120">
        <v>7</v>
      </c>
      <c r="F481" s="120">
        <v>2</v>
      </c>
    </row>
    <row r="482" spans="1:6">
      <c r="A482" s="120" t="s">
        <v>741</v>
      </c>
      <c r="B482" s="120" t="s">
        <v>16</v>
      </c>
      <c r="C482" s="120">
        <v>14</v>
      </c>
      <c r="D482" s="120">
        <v>3</v>
      </c>
      <c r="E482" s="120">
        <v>7</v>
      </c>
      <c r="F482" s="120">
        <v>1</v>
      </c>
    </row>
    <row r="483" spans="1:6">
      <c r="A483" s="120" t="s">
        <v>1097</v>
      </c>
      <c r="B483" s="120" t="s">
        <v>472</v>
      </c>
      <c r="C483" s="120">
        <v>12</v>
      </c>
      <c r="D483" s="120">
        <v>3</v>
      </c>
      <c r="E483" s="120">
        <v>7</v>
      </c>
      <c r="F483" s="120">
        <v>2</v>
      </c>
    </row>
    <row r="484" spans="1:6">
      <c r="A484" s="120" t="s">
        <v>1130</v>
      </c>
      <c r="B484" s="120" t="s">
        <v>17</v>
      </c>
      <c r="C484" s="120">
        <v>19</v>
      </c>
      <c r="D484" s="120">
        <v>3</v>
      </c>
      <c r="E484" s="120">
        <v>7</v>
      </c>
      <c r="F484" s="120">
        <v>1</v>
      </c>
    </row>
    <row r="485" spans="1:6">
      <c r="A485" s="120" t="s">
        <v>467</v>
      </c>
      <c r="B485" s="120" t="s">
        <v>195</v>
      </c>
      <c r="C485" s="120">
        <v>20</v>
      </c>
      <c r="D485" s="120">
        <v>3</v>
      </c>
      <c r="E485" s="120">
        <v>7</v>
      </c>
      <c r="F485" s="120">
        <v>10</v>
      </c>
    </row>
    <row r="486" spans="1:6">
      <c r="A486" s="120" t="s">
        <v>218</v>
      </c>
      <c r="B486" s="120" t="s">
        <v>938</v>
      </c>
      <c r="C486" s="120">
        <v>22</v>
      </c>
      <c r="D486" s="120">
        <v>3</v>
      </c>
      <c r="E486" s="120">
        <v>7</v>
      </c>
      <c r="F486" s="120">
        <v>10</v>
      </c>
    </row>
    <row r="487" spans="1:6">
      <c r="A487" s="120" t="s">
        <v>117</v>
      </c>
      <c r="B487" s="120" t="s">
        <v>8</v>
      </c>
      <c r="C487" s="120">
        <v>24</v>
      </c>
      <c r="D487" s="120">
        <v>3</v>
      </c>
      <c r="E487" s="120">
        <v>7</v>
      </c>
      <c r="F487" s="120">
        <v>10</v>
      </c>
    </row>
    <row r="490" spans="1:6">
      <c r="A490" s="120" t="s">
        <v>1087</v>
      </c>
      <c r="C490" s="128" t="s">
        <v>360</v>
      </c>
      <c r="D490" s="128" t="s">
        <v>361</v>
      </c>
      <c r="E490" s="128" t="s">
        <v>449</v>
      </c>
    </row>
    <row r="491" spans="1:6">
      <c r="A491" s="120" t="s">
        <v>1073</v>
      </c>
      <c r="C491" s="120">
        <v>0</v>
      </c>
      <c r="D491" s="120">
        <v>0</v>
      </c>
      <c r="E491" s="120">
        <v>0</v>
      </c>
    </row>
    <row r="492" spans="1:6">
      <c r="A492" s="120" t="s">
        <v>147</v>
      </c>
      <c r="C492" s="120">
        <v>4</v>
      </c>
      <c r="D492" s="120">
        <v>0.2</v>
      </c>
      <c r="E492" s="120">
        <v>5</v>
      </c>
    </row>
    <row r="493" spans="1:6">
      <c r="A493" s="120" t="s">
        <v>148</v>
      </c>
      <c r="C493" s="120">
        <v>18</v>
      </c>
      <c r="D493" s="120">
        <v>1</v>
      </c>
      <c r="E493" s="120">
        <v>22</v>
      </c>
    </row>
    <row r="494" spans="1:6">
      <c r="A494" s="120" t="s">
        <v>149</v>
      </c>
      <c r="C494" s="120">
        <v>60</v>
      </c>
      <c r="D494" s="120">
        <v>3</v>
      </c>
      <c r="E494" s="120">
        <v>70</v>
      </c>
    </row>
    <row r="495" spans="1:6">
      <c r="A495" s="120" t="s">
        <v>146</v>
      </c>
      <c r="C495" s="120">
        <v>1</v>
      </c>
      <c r="D495" s="120">
        <v>0</v>
      </c>
      <c r="E495" s="120">
        <v>1</v>
      </c>
    </row>
    <row r="496" spans="1:6">
      <c r="A496" s="120" t="s">
        <v>143</v>
      </c>
      <c r="C496" s="120">
        <v>0.5</v>
      </c>
      <c r="D496" s="120">
        <v>0</v>
      </c>
      <c r="E496" s="120">
        <v>2</v>
      </c>
    </row>
    <row r="497" spans="1:10">
      <c r="A497" s="120" t="s">
        <v>144</v>
      </c>
      <c r="C497" s="120">
        <v>0.5</v>
      </c>
      <c r="D497" s="120">
        <v>0</v>
      </c>
      <c r="E497" s="120">
        <v>6</v>
      </c>
    </row>
    <row r="500" spans="1:10">
      <c r="A500" s="120" t="s">
        <v>309</v>
      </c>
      <c r="B500" s="128" t="s">
        <v>946</v>
      </c>
      <c r="C500" s="128" t="s">
        <v>729</v>
      </c>
      <c r="D500" s="128" t="s">
        <v>962</v>
      </c>
      <c r="E500" s="128" t="s">
        <v>963</v>
      </c>
      <c r="F500" s="128" t="s">
        <v>1064</v>
      </c>
      <c r="G500" s="128" t="s">
        <v>945</v>
      </c>
      <c r="H500" s="128" t="s">
        <v>900</v>
      </c>
      <c r="I500" s="128" t="s">
        <v>901</v>
      </c>
      <c r="J500" s="128" t="s">
        <v>723</v>
      </c>
    </row>
    <row r="501" spans="1:10">
      <c r="A501" s="120" t="s">
        <v>894</v>
      </c>
      <c r="B501" s="120">
        <v>10</v>
      </c>
      <c r="C501" s="120">
        <v>1</v>
      </c>
      <c r="D501" s="129">
        <v>0</v>
      </c>
      <c r="E501" s="129">
        <v>1</v>
      </c>
      <c r="F501" s="120">
        <v>1</v>
      </c>
      <c r="G501" s="120">
        <v>2</v>
      </c>
      <c r="H501" s="120">
        <v>9999</v>
      </c>
      <c r="I501" s="120">
        <v>9999</v>
      </c>
      <c r="J501" s="120" t="s">
        <v>788</v>
      </c>
    </row>
    <row r="502" spans="1:10">
      <c r="A502" s="120" t="s">
        <v>21</v>
      </c>
      <c r="B502" s="120">
        <v>9999</v>
      </c>
      <c r="C502" s="120">
        <v>0</v>
      </c>
      <c r="D502" s="129">
        <v>0.5</v>
      </c>
      <c r="E502" s="129">
        <v>1</v>
      </c>
      <c r="F502" s="120">
        <v>1.5</v>
      </c>
      <c r="G502" s="120">
        <v>1.5</v>
      </c>
      <c r="H502" s="120">
        <v>9999</v>
      </c>
      <c r="I502" s="120">
        <v>9999</v>
      </c>
      <c r="J502" s="120" t="s">
        <v>692</v>
      </c>
    </row>
    <row r="503" spans="1:10">
      <c r="A503" s="120" t="s">
        <v>200</v>
      </c>
      <c r="B503" s="120">
        <v>9999</v>
      </c>
      <c r="C503" s="120">
        <v>1</v>
      </c>
      <c r="D503" s="134">
        <v>1</v>
      </c>
      <c r="E503" s="134">
        <v>0</v>
      </c>
      <c r="F503" s="120">
        <v>0</v>
      </c>
      <c r="G503" s="120">
        <v>0</v>
      </c>
      <c r="H503" s="120">
        <v>9999</v>
      </c>
      <c r="I503" s="120">
        <v>9999</v>
      </c>
      <c r="J503" s="120" t="s">
        <v>1000</v>
      </c>
    </row>
    <row r="504" spans="1:10">
      <c r="A504" s="120" t="s">
        <v>173</v>
      </c>
      <c r="B504" s="120">
        <v>9999</v>
      </c>
      <c r="C504" s="120">
        <v>10</v>
      </c>
      <c r="D504" s="129">
        <v>1</v>
      </c>
      <c r="E504" s="129">
        <v>0</v>
      </c>
      <c r="F504" s="120">
        <v>0</v>
      </c>
      <c r="G504" s="120">
        <v>0</v>
      </c>
      <c r="H504" s="120">
        <v>9999</v>
      </c>
      <c r="I504" s="120">
        <v>9999</v>
      </c>
      <c r="J504" s="120" t="s">
        <v>175</v>
      </c>
    </row>
    <row r="505" spans="1:10">
      <c r="A505" s="120" t="s">
        <v>1070</v>
      </c>
      <c r="B505" s="120">
        <v>9999</v>
      </c>
      <c r="C505" s="120">
        <v>0</v>
      </c>
      <c r="D505" s="134">
        <v>25</v>
      </c>
      <c r="E505" s="134">
        <v>0</v>
      </c>
      <c r="F505" s="120">
        <v>2E-3</v>
      </c>
      <c r="G505" s="120">
        <v>2E-3</v>
      </c>
      <c r="H505" s="120">
        <v>9999</v>
      </c>
      <c r="I505" s="120">
        <v>9999</v>
      </c>
      <c r="J505" s="120" t="s">
        <v>175</v>
      </c>
    </row>
    <row r="506" spans="1:10">
      <c r="A506" s="120" t="s">
        <v>68</v>
      </c>
      <c r="B506" s="120">
        <v>9999</v>
      </c>
      <c r="C506" s="120">
        <v>1</v>
      </c>
      <c r="D506" s="134">
        <v>0</v>
      </c>
      <c r="E506" s="134">
        <v>1</v>
      </c>
      <c r="F506" s="120">
        <v>1</v>
      </c>
      <c r="G506" s="120">
        <v>1</v>
      </c>
      <c r="H506" s="120">
        <v>35</v>
      </c>
      <c r="I506" s="120">
        <v>100</v>
      </c>
      <c r="J506" s="120" t="s">
        <v>68</v>
      </c>
    </row>
    <row r="507" spans="1:10">
      <c r="A507" s="120" t="s">
        <v>768</v>
      </c>
      <c r="B507" s="120">
        <v>9999</v>
      </c>
      <c r="C507" s="120">
        <v>0.5</v>
      </c>
      <c r="D507" s="129">
        <v>0</v>
      </c>
      <c r="E507" s="129">
        <v>1</v>
      </c>
      <c r="F507" s="120">
        <v>1</v>
      </c>
      <c r="G507" s="120">
        <v>1</v>
      </c>
      <c r="H507" s="120">
        <v>35</v>
      </c>
      <c r="I507" s="120">
        <v>100</v>
      </c>
      <c r="J507" s="120" t="s">
        <v>769</v>
      </c>
    </row>
    <row r="510" spans="1:10">
      <c r="A510" s="120" t="s">
        <v>1040</v>
      </c>
      <c r="B510" s="128" t="s">
        <v>646</v>
      </c>
      <c r="C510" s="128" t="s">
        <v>1143</v>
      </c>
      <c r="D510" s="128" t="s">
        <v>672</v>
      </c>
      <c r="E510" s="155" t="s">
        <v>510</v>
      </c>
      <c r="F510" s="128" t="s">
        <v>883</v>
      </c>
      <c r="G510" s="128" t="s">
        <v>699</v>
      </c>
    </row>
    <row r="511" spans="1:10">
      <c r="A511" s="120" t="s">
        <v>423</v>
      </c>
      <c r="B511" s="120">
        <v>0</v>
      </c>
      <c r="C511" s="120">
        <v>10</v>
      </c>
      <c r="D511" s="120">
        <v>0</v>
      </c>
      <c r="E511" s="155" t="s">
        <v>509</v>
      </c>
    </row>
    <row r="512" spans="1:10">
      <c r="A512" s="120" t="s">
        <v>29</v>
      </c>
      <c r="B512" s="120">
        <v>0</v>
      </c>
      <c r="C512" s="120">
        <v>100</v>
      </c>
      <c r="D512" s="120">
        <v>0</v>
      </c>
      <c r="E512" s="155"/>
    </row>
    <row r="513" spans="1:10">
      <c r="A513" s="120" t="str">
        <f>""</f>
        <v/>
      </c>
      <c r="B513" s="120">
        <v>0</v>
      </c>
      <c r="C513" s="120">
        <v>0</v>
      </c>
      <c r="D513" s="120">
        <v>0</v>
      </c>
      <c r="E513" s="155"/>
    </row>
    <row r="514" spans="1:10">
      <c r="A514" s="120" t="s">
        <v>500</v>
      </c>
      <c r="B514" s="120">
        <v>0</v>
      </c>
      <c r="C514" s="120">
        <v>20</v>
      </c>
      <c r="D514" s="120">
        <v>0</v>
      </c>
      <c r="E514" s="155"/>
    </row>
    <row r="515" spans="1:10">
      <c r="A515" s="120" t="s">
        <v>979</v>
      </c>
      <c r="B515" s="120">
        <v>5</v>
      </c>
      <c r="C515" s="120">
        <v>2</v>
      </c>
      <c r="D515" s="120">
        <v>0.03</v>
      </c>
      <c r="E515" s="155" t="s">
        <v>758</v>
      </c>
    </row>
    <row r="516" spans="1:10">
      <c r="A516" s="120" t="s">
        <v>790</v>
      </c>
      <c r="B516" s="120">
        <v>5</v>
      </c>
      <c r="C516" s="120">
        <v>4</v>
      </c>
      <c r="D516" s="120">
        <v>0.05</v>
      </c>
      <c r="E516" s="155" t="s">
        <v>887</v>
      </c>
    </row>
    <row r="517" spans="1:10">
      <c r="A517" s="120" t="s">
        <v>1038</v>
      </c>
      <c r="B517" s="120">
        <v>9</v>
      </c>
      <c r="C517" s="120">
        <v>5</v>
      </c>
      <c r="D517" s="120">
        <v>0.16</v>
      </c>
      <c r="E517" s="155" t="s">
        <v>851</v>
      </c>
      <c r="J517" s="120" t="s">
        <v>296</v>
      </c>
    </row>
    <row r="518" spans="1:10">
      <c r="A518" s="120" t="s">
        <v>850</v>
      </c>
      <c r="B518" s="120">
        <v>9</v>
      </c>
      <c r="C518" s="120">
        <v>5</v>
      </c>
      <c r="D518" s="120">
        <v>0.32</v>
      </c>
      <c r="E518" s="155" t="s">
        <v>155</v>
      </c>
    </row>
    <row r="519" spans="1:10">
      <c r="A519" s="120" t="s">
        <v>784</v>
      </c>
      <c r="B519" s="120">
        <v>8</v>
      </c>
      <c r="C519" s="120">
        <v>4</v>
      </c>
      <c r="D519" s="120">
        <v>0.06</v>
      </c>
      <c r="E519" s="155" t="s">
        <v>156</v>
      </c>
    </row>
    <row r="520" spans="1:10">
      <c r="A520" s="120" t="s">
        <v>978</v>
      </c>
      <c r="B520" s="120">
        <v>8</v>
      </c>
      <c r="C520" s="120">
        <v>4</v>
      </c>
      <c r="D520" s="120">
        <v>0.06</v>
      </c>
      <c r="E520" s="155" t="s">
        <v>156</v>
      </c>
      <c r="I520" s="120" t="str">
        <f>"= Air/raft"</f>
        <v>= Air/raft</v>
      </c>
    </row>
    <row r="521" spans="1:10">
      <c r="A521" s="120" t="s">
        <v>1103</v>
      </c>
      <c r="B521" s="120">
        <v>8</v>
      </c>
      <c r="C521" s="120">
        <v>8</v>
      </c>
      <c r="D521" s="120">
        <f>D520*2</f>
        <v>0.12</v>
      </c>
      <c r="E521" s="155"/>
      <c r="I521" s="120" t="str">
        <f>"= Air/raft × 2"</f>
        <v>= Air/raft × 2</v>
      </c>
    </row>
    <row r="522" spans="1:10">
      <c r="A522" s="120" t="s">
        <v>707</v>
      </c>
      <c r="B522" s="120">
        <v>11</v>
      </c>
      <c r="C522" s="120">
        <v>3</v>
      </c>
      <c r="D522" s="120">
        <v>2</v>
      </c>
      <c r="E522" s="155" t="s">
        <v>798</v>
      </c>
      <c r="F522" s="120">
        <v>2</v>
      </c>
      <c r="G522" s="120">
        <v>2</v>
      </c>
    </row>
    <row r="523" spans="1:10">
      <c r="A523" s="120" t="s">
        <v>616</v>
      </c>
      <c r="B523" s="120">
        <v>11</v>
      </c>
      <c r="C523" s="120">
        <v>10</v>
      </c>
      <c r="D523" s="120">
        <v>2</v>
      </c>
      <c r="E523" s="155" t="s">
        <v>798</v>
      </c>
    </row>
    <row r="524" spans="1:10">
      <c r="A524" s="120" t="s">
        <v>690</v>
      </c>
      <c r="B524" s="120">
        <v>11</v>
      </c>
      <c r="C524" s="120">
        <v>10</v>
      </c>
      <c r="D524" s="120">
        <v>9</v>
      </c>
      <c r="E524" s="155" t="s">
        <v>799</v>
      </c>
      <c r="F524" s="120">
        <v>6</v>
      </c>
      <c r="G524" s="120">
        <v>1</v>
      </c>
    </row>
    <row r="525" spans="1:10">
      <c r="A525" s="120" t="s">
        <v>773</v>
      </c>
      <c r="B525" s="120">
        <v>12</v>
      </c>
      <c r="C525" s="120">
        <v>20</v>
      </c>
      <c r="D525" s="120">
        <v>2</v>
      </c>
      <c r="E525" s="155" t="s">
        <v>621</v>
      </c>
      <c r="F525" s="120">
        <v>7</v>
      </c>
      <c r="G525" s="120">
        <v>1.5</v>
      </c>
    </row>
    <row r="526" spans="1:10">
      <c r="A526" s="120" t="s">
        <v>180</v>
      </c>
      <c r="B526" s="120">
        <v>11</v>
      </c>
      <c r="C526" s="120">
        <v>20</v>
      </c>
      <c r="D526" s="120">
        <v>7</v>
      </c>
      <c r="E526" s="155" t="s">
        <v>485</v>
      </c>
      <c r="F526" s="120">
        <v>1</v>
      </c>
      <c r="G526" s="120">
        <v>15</v>
      </c>
    </row>
    <row r="527" spans="1:10">
      <c r="A527" s="120" t="s">
        <v>519</v>
      </c>
      <c r="B527" s="120">
        <v>13</v>
      </c>
      <c r="C527" s="120">
        <v>20</v>
      </c>
      <c r="D527" s="120">
        <v>9</v>
      </c>
      <c r="E527" s="155" t="s">
        <v>520</v>
      </c>
      <c r="F527" s="120">
        <v>4</v>
      </c>
      <c r="G527" s="120">
        <v>5</v>
      </c>
    </row>
    <row r="528" spans="1:10">
      <c r="A528" s="120" t="s">
        <v>451</v>
      </c>
      <c r="B528" s="120">
        <v>11</v>
      </c>
      <c r="C528" s="120">
        <v>30</v>
      </c>
      <c r="D528" s="120">
        <v>6</v>
      </c>
      <c r="E528" s="155" t="s">
        <v>240</v>
      </c>
      <c r="F528" s="120">
        <v>3</v>
      </c>
      <c r="G528" s="120">
        <v>24</v>
      </c>
    </row>
    <row r="529" spans="1:10">
      <c r="A529" s="120" t="s">
        <v>408</v>
      </c>
      <c r="B529" s="120">
        <v>13</v>
      </c>
      <c r="C529" s="120">
        <v>30</v>
      </c>
      <c r="D529" s="120">
        <v>8</v>
      </c>
      <c r="E529" s="155" t="s">
        <v>673</v>
      </c>
      <c r="F529" s="120">
        <v>6</v>
      </c>
      <c r="G529" s="120">
        <v>14</v>
      </c>
      <c r="J529" s="120" t="s">
        <v>530</v>
      </c>
    </row>
    <row r="530" spans="1:10">
      <c r="A530" s="120" t="s">
        <v>453</v>
      </c>
      <c r="B530" s="120">
        <v>13</v>
      </c>
      <c r="C530" s="120">
        <v>40</v>
      </c>
      <c r="D530" s="120">
        <v>8</v>
      </c>
      <c r="E530" s="155" t="s">
        <v>197</v>
      </c>
      <c r="F530" s="120">
        <v>2</v>
      </c>
      <c r="G530" s="120">
        <v>30</v>
      </c>
    </row>
    <row r="531" spans="1:10">
      <c r="A531" s="120" t="s">
        <v>96</v>
      </c>
      <c r="B531" s="120">
        <v>15</v>
      </c>
      <c r="C531" s="120">
        <v>40</v>
      </c>
      <c r="D531" s="120">
        <v>10</v>
      </c>
      <c r="E531" s="155" t="s">
        <v>674</v>
      </c>
      <c r="F531" s="120">
        <v>5</v>
      </c>
      <c r="G531" s="120">
        <v>20</v>
      </c>
    </row>
    <row r="532" spans="1:10">
      <c r="A532" s="120" t="s">
        <v>1092</v>
      </c>
      <c r="B532" s="120">
        <v>13</v>
      </c>
      <c r="C532" s="120">
        <v>50</v>
      </c>
      <c r="D532" s="120">
        <v>13</v>
      </c>
      <c r="E532" s="155" t="s">
        <v>758</v>
      </c>
      <c r="F532" s="120">
        <v>4</v>
      </c>
      <c r="G532" s="120">
        <v>31</v>
      </c>
    </row>
    <row r="533" spans="1:10">
      <c r="A533" s="120" t="s">
        <v>1022</v>
      </c>
      <c r="B533" s="120">
        <v>13</v>
      </c>
      <c r="C533" s="120">
        <v>30</v>
      </c>
      <c r="D533" s="120">
        <v>6</v>
      </c>
      <c r="E533" s="155" t="s">
        <v>941</v>
      </c>
      <c r="F533" s="120">
        <v>0</v>
      </c>
      <c r="G533" s="120">
        <v>30</v>
      </c>
    </row>
    <row r="534" spans="1:10">
      <c r="A534" s="120" t="s">
        <v>1046</v>
      </c>
      <c r="B534" s="120">
        <v>14</v>
      </c>
      <c r="C534" s="120">
        <v>40</v>
      </c>
      <c r="D534" s="120">
        <v>20</v>
      </c>
      <c r="E534" s="155" t="s">
        <v>1031</v>
      </c>
      <c r="F534" s="120">
        <v>5</v>
      </c>
      <c r="G534" s="120">
        <v>24</v>
      </c>
    </row>
    <row r="535" spans="1:10">
      <c r="A535" s="120" t="s">
        <v>429</v>
      </c>
      <c r="B535" s="120">
        <v>10</v>
      </c>
      <c r="C535" s="120">
        <v>35</v>
      </c>
      <c r="D535" s="120">
        <v>6</v>
      </c>
      <c r="E535" s="155" t="s">
        <v>248</v>
      </c>
      <c r="F535" s="120">
        <v>5</v>
      </c>
      <c r="G535" s="120">
        <v>21</v>
      </c>
    </row>
    <row r="536" spans="1:10">
      <c r="A536" s="120" t="s">
        <v>43</v>
      </c>
      <c r="B536" s="120">
        <v>11</v>
      </c>
      <c r="C536" s="120">
        <v>70</v>
      </c>
      <c r="D536" s="120">
        <v>11</v>
      </c>
      <c r="E536" s="155" t="s">
        <v>508</v>
      </c>
      <c r="F536" s="120">
        <v>4</v>
      </c>
      <c r="G536" s="120">
        <v>42</v>
      </c>
    </row>
    <row r="537" spans="1:10">
      <c r="A537" s="120" t="s">
        <v>126</v>
      </c>
      <c r="B537" s="120">
        <v>12</v>
      </c>
      <c r="C537" s="120">
        <v>70</v>
      </c>
      <c r="D537" s="120">
        <v>12</v>
      </c>
      <c r="E537" s="155" t="s">
        <v>794</v>
      </c>
      <c r="F537" s="120">
        <v>5</v>
      </c>
      <c r="G537" s="120">
        <v>37</v>
      </c>
    </row>
    <row r="538" spans="1:10">
      <c r="A538" s="120" t="s">
        <v>882</v>
      </c>
      <c r="B538" s="120">
        <v>10</v>
      </c>
      <c r="C538" s="120">
        <v>95</v>
      </c>
      <c r="D538" s="120">
        <v>16</v>
      </c>
      <c r="E538" s="155" t="s">
        <v>783</v>
      </c>
      <c r="F538" s="120">
        <v>3</v>
      </c>
      <c r="G538" s="120">
        <v>67</v>
      </c>
      <c r="I538" s="120" t="s">
        <v>237</v>
      </c>
    </row>
    <row r="539" spans="1:10">
      <c r="A539" s="120" t="s">
        <v>421</v>
      </c>
      <c r="B539" s="120">
        <v>11</v>
      </c>
      <c r="C539" s="120">
        <v>90</v>
      </c>
      <c r="D539" s="120">
        <v>15</v>
      </c>
      <c r="E539" s="155" t="s">
        <v>125</v>
      </c>
      <c r="F539" s="120">
        <v>4</v>
      </c>
      <c r="G539" s="120">
        <v>57</v>
      </c>
      <c r="I539" s="120" t="s">
        <v>782</v>
      </c>
    </row>
    <row r="540" spans="1:10">
      <c r="A540" s="120" t="s">
        <v>140</v>
      </c>
      <c r="B540" s="120">
        <v>8</v>
      </c>
      <c r="C540" s="120">
        <v>200</v>
      </c>
      <c r="D540" s="120">
        <v>0</v>
      </c>
      <c r="E540" s="155" t="s">
        <v>141</v>
      </c>
      <c r="F540" s="120">
        <v>0</v>
      </c>
      <c r="G540" s="120">
        <v>0</v>
      </c>
      <c r="I540" s="120" t="s">
        <v>142</v>
      </c>
    </row>
  </sheetData>
  <sheetCalcPr fullCalcOnLoad="1"/>
  <mergeCells count="1">
    <mergeCell ref="S196:T196"/>
  </mergeCells>
  <phoneticPr fontId="1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Simple</vt:lpstr>
      <vt:lpstr>Description</vt:lpstr>
      <vt:lpstr>Ship</vt:lpstr>
      <vt:lpstr>Tables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Björk</dc:creator>
  <cp:keywords/>
  <dc:description/>
  <cp:lastModifiedBy>Hans Björk</cp:lastModifiedBy>
  <cp:lastPrinted>2020-03-17T11:49:14Z</cp:lastPrinted>
  <dcterms:created xsi:type="dcterms:W3CDTF">2015-12-10T18:51:15Z</dcterms:created>
  <dcterms:modified xsi:type="dcterms:W3CDTF">2020-03-18T13:06:58Z</dcterms:modified>
  <cp:category/>
</cp:coreProperties>
</file>